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85" yWindow="195" windowWidth="10845" windowHeight="12120" activeTab="0"/>
  </bookViews>
  <sheets>
    <sheet name="str tyt" sheetId="1" r:id="rId1"/>
    <sheet name="P-K-Ł (WT)" sheetId="2" r:id="rId2"/>
    <sheet name="Ł-K-Ł" sheetId="3" r:id="rId3"/>
    <sheet name="łuki koszowe" sheetId="4" r:id="rId4"/>
    <sheet name="P-K-Ł (EN)" sheetId="5" r:id="rId5"/>
    <sheet name="łuki pionowe" sheetId="6" r:id="rId6"/>
    <sheet name="modernizacja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<sst xmlns="http://schemas.openxmlformats.org/spreadsheetml/2006/main" count="409" uniqueCount="167">
  <si>
    <t>Promień łuku</t>
  </si>
  <si>
    <t>Długość krzywej przejściowej</t>
  </si>
  <si>
    <t>a dopuszczalne</t>
  </si>
  <si>
    <t>Wielkość przechyłki</t>
  </si>
  <si>
    <t>[m]</t>
  </si>
  <si>
    <t>[m/s2]</t>
  </si>
  <si>
    <t>[mm]</t>
  </si>
  <si>
    <t>R</t>
  </si>
  <si>
    <t>L</t>
  </si>
  <si>
    <t>adop</t>
  </si>
  <si>
    <t>h</t>
  </si>
  <si>
    <t>Prędkość maksymalna</t>
  </si>
  <si>
    <t>vmax</t>
  </si>
  <si>
    <t>[km/h]</t>
  </si>
  <si>
    <t>Dane</t>
  </si>
  <si>
    <t>Wyniki</t>
  </si>
  <si>
    <t>Minimalny promień łuku dla adop, h, vmax</t>
  </si>
  <si>
    <t>Rmin</t>
  </si>
  <si>
    <t>Przyspieszenie ziemskie</t>
  </si>
  <si>
    <t>g</t>
  </si>
  <si>
    <t>Rozstaw szyn</t>
  </si>
  <si>
    <t>s</t>
  </si>
  <si>
    <t>Prędkość pociągów towarowych</t>
  </si>
  <si>
    <t>vt</t>
  </si>
  <si>
    <t>hmin</t>
  </si>
  <si>
    <t>Uwagi</t>
  </si>
  <si>
    <t>hmax</t>
  </si>
  <si>
    <t>Minimalna przechyłka dla vmax, R, adop</t>
  </si>
  <si>
    <t>Maksymalna przechyłka dla vmax, R, adop</t>
  </si>
  <si>
    <t>Prędkość podnoszenia koła na rampie przechyłkowej</t>
  </si>
  <si>
    <t>f</t>
  </si>
  <si>
    <t>[mm/s]</t>
  </si>
  <si>
    <t>ψ dopuszczalne</t>
  </si>
  <si>
    <t>ψdop</t>
  </si>
  <si>
    <t>[m/s3]</t>
  </si>
  <si>
    <t>Przyrost przyspieszenia bocznego</t>
  </si>
  <si>
    <t>ψ</t>
  </si>
  <si>
    <t>[mm/s3]</t>
  </si>
  <si>
    <t>at dla poc. towarowych</t>
  </si>
  <si>
    <t>at</t>
  </si>
  <si>
    <t>Długość bazy sztywnej wagonu</t>
  </si>
  <si>
    <t>b</t>
  </si>
  <si>
    <t>Niezrównoważone przyspieszenie boczne a</t>
  </si>
  <si>
    <t>a</t>
  </si>
  <si>
    <t>Promień łuku 2</t>
  </si>
  <si>
    <t>Łuki koszowe</t>
  </si>
  <si>
    <t>Wstawka</t>
  </si>
  <si>
    <t>w</t>
  </si>
  <si>
    <t>Przechyłka</t>
  </si>
  <si>
    <t>R2</t>
  </si>
  <si>
    <t>R1</t>
  </si>
  <si>
    <t>Niezrównoważone przyspieszenie boczne a2</t>
  </si>
  <si>
    <t>a2</t>
  </si>
  <si>
    <t>a1</t>
  </si>
  <si>
    <t>Niezrównoważone przyspieszenie boczne a1</t>
  </si>
  <si>
    <t>i1</t>
  </si>
  <si>
    <t>i2</t>
  </si>
  <si>
    <t>Pochylenie 1</t>
  </si>
  <si>
    <r>
      <t>[</t>
    </r>
    <r>
      <rPr>
        <sz val="11"/>
        <color indexed="8"/>
        <rFont val="Czcionka tekstu podstawowego"/>
        <family val="0"/>
      </rPr>
      <t>‰</t>
    </r>
    <r>
      <rPr>
        <sz val="11"/>
        <color indexed="8"/>
        <rFont val="Calibri"/>
        <family val="2"/>
      </rPr>
      <t>]</t>
    </r>
  </si>
  <si>
    <t>Pochylenie 2</t>
  </si>
  <si>
    <t>Styczna</t>
  </si>
  <si>
    <t>T</t>
  </si>
  <si>
    <t>Strzałka</t>
  </si>
  <si>
    <t>z</t>
  </si>
  <si>
    <t>Maksymalna przechyłka dla vmax, R, at</t>
  </si>
  <si>
    <t>Minimalny promień łuku dla adop, vmax, hmax</t>
  </si>
  <si>
    <t>Przechyłka minimalna</t>
  </si>
  <si>
    <t>Przechyłka maksymalna</t>
  </si>
  <si>
    <t>łuki i poj. krzywe przejściowe v&lt;160km/h</t>
  </si>
  <si>
    <t>tory zwrotne rozjazdów zwyczajnych</t>
  </si>
  <si>
    <t>łuki o promieniach: 200m&lt;R&lt;250m</t>
  </si>
  <si>
    <t>poszerzenia międzytorzy w trudnych war. ter.</t>
  </si>
  <si>
    <t>poszerzenia międzytorzy w dogodnych war. ter.</t>
  </si>
  <si>
    <t>Projektowany układ torowy</t>
  </si>
  <si>
    <t>Obciążenie przewozami [Tg/rok]</t>
  </si>
  <si>
    <t>łuki i poj. krzywe przejściowe v≥160km/h</t>
  </si>
  <si>
    <t>tory boczne na stacjach (v≤40km/h)</t>
  </si>
  <si>
    <t>łuki o promieniach ≤200m</t>
  </si>
  <si>
    <t>0 ≤ T &lt; 5</t>
  </si>
  <si>
    <t>5 ≤ T &lt; 10</t>
  </si>
  <si>
    <t>10 ≤ T &lt; 15</t>
  </si>
  <si>
    <t>15 ≤ T &lt; 20</t>
  </si>
  <si>
    <t>20 ≤ T</t>
  </si>
  <si>
    <t>pojedyncze krzywe przejściowe</t>
  </si>
  <si>
    <t>poszerzenie międzytorzy za pom. krzywych przejściowych w dogodnych war.</t>
  </si>
  <si>
    <t>poszerzenie międzytorzy za pom. krzywych przejściowych w trudnych war.</t>
  </si>
  <si>
    <t>wstawki proste między łukami rozjazdów</t>
  </si>
  <si>
    <t>Dopuszczalna prędkość podnoszenia koła na rampie przechyłkowej</t>
  </si>
  <si>
    <t>Zasadnicza prędkość podnoszenia koła na rampie przechyłkowej</t>
  </si>
  <si>
    <t>fzas</t>
  </si>
  <si>
    <t>fdop</t>
  </si>
  <si>
    <t>Minimalny promień łuku dla adop, at, vmax, vt</t>
  </si>
  <si>
    <t>Rmin(1)</t>
  </si>
  <si>
    <t>Rmin(2)</t>
  </si>
  <si>
    <t>Promień łuku 1</t>
  </si>
  <si>
    <t>Długość krzywej przejściowej między łukami</t>
  </si>
  <si>
    <t>Wielkość przechyłki 1</t>
  </si>
  <si>
    <t>h1</t>
  </si>
  <si>
    <t>Wielkość przechyłki 2</t>
  </si>
  <si>
    <t>h2</t>
  </si>
  <si>
    <t>Dla łuku o promieniu R1</t>
  </si>
  <si>
    <t>Dla łuku o promieniu R2</t>
  </si>
  <si>
    <t>Dla połączenia łuków o promieniu R1 i R2</t>
  </si>
  <si>
    <t>Typ taboru</t>
  </si>
  <si>
    <t>bez wychylnego pudła</t>
  </si>
  <si>
    <t>z wychylnym pudłem</t>
  </si>
  <si>
    <t>Niedobór przechyłki</t>
  </si>
  <si>
    <t>Niedobór przechyłki-
zasadniczna wartość graniczna</t>
  </si>
  <si>
    <t>Niedobór przechyłki-
dopuszczalna wartość graniczna</t>
  </si>
  <si>
    <t>Ilim</t>
  </si>
  <si>
    <t>D</t>
  </si>
  <si>
    <t>Cant</t>
  </si>
  <si>
    <t>I</t>
  </si>
  <si>
    <t>C</t>
  </si>
  <si>
    <r>
      <t>[mm</t>
    </r>
    <r>
      <rPr>
        <sz val="11"/>
        <color indexed="8"/>
        <rFont val="Czcionka tekstu podstawowego"/>
        <family val="0"/>
      </rPr>
      <t>·</t>
    </r>
    <r>
      <rPr>
        <sz val="11"/>
        <color indexed="8"/>
        <rFont val="Calibri"/>
        <family val="2"/>
      </rPr>
      <t>m·h^2/km^2]</t>
    </r>
  </si>
  <si>
    <t>Nadmiar przechyłki</t>
  </si>
  <si>
    <t>Cant excess</t>
  </si>
  <si>
    <t>E</t>
  </si>
  <si>
    <t>Nadmiar przechyłki-
wartość graniczna</t>
  </si>
  <si>
    <t>Przyrost przechyłki-
zasadnicza wartość graniczna</t>
  </si>
  <si>
    <t>Przyrost przechyłki-
dopuszczalna wartość graniczna</t>
  </si>
  <si>
    <t>Cant gradient - normal limit</t>
  </si>
  <si>
    <t>Cant gradient - exceptional limit</t>
  </si>
  <si>
    <t>(dD/ds)lim</t>
  </si>
  <si>
    <t>[mm/m]</t>
  </si>
  <si>
    <t>Przyrost przechyłki</t>
  </si>
  <si>
    <t>Cant gradient</t>
  </si>
  <si>
    <t>qv</t>
  </si>
  <si>
    <t>[km·s/(h·m)]</t>
  </si>
  <si>
    <t>Wskaźnik zmiany przechyłki</t>
  </si>
  <si>
    <t xml:space="preserve">Rate of change of cant dD/dt </t>
  </si>
  <si>
    <t>dD/ds</t>
  </si>
  <si>
    <t>dD/dt</t>
  </si>
  <si>
    <t>(dD/dt)lim</t>
  </si>
  <si>
    <t>Damian Kosicki 2011-2012</t>
  </si>
  <si>
    <t>Rate of change of cant deficiency</t>
  </si>
  <si>
    <t>dI/dt</t>
  </si>
  <si>
    <t>Zmiana niedoboru przechyłki</t>
  </si>
  <si>
    <t>(dI/dt)lim</t>
  </si>
  <si>
    <t>Rate of change of cant deficiency - normal limit</t>
  </si>
  <si>
    <t>Rate of change of cant deficiency - exceptional limit</t>
  </si>
  <si>
    <t>Zmiana niedoboru przechyłki-
zasadnicza wartość graniczna</t>
  </si>
  <si>
    <t>Zmiana niedoboru przechyłki-
dopuszczalna wartość graniczna</t>
  </si>
  <si>
    <t>Rate of change of cant - exceptional limit</t>
  </si>
  <si>
    <t>Rate of change of cant - normal limit</t>
  </si>
  <si>
    <r>
      <rPr>
        <b/>
        <sz val="11"/>
        <rFont val="Calibri"/>
        <family val="2"/>
      </rPr>
      <t>TOROmistrz</t>
    </r>
    <r>
      <rPr>
        <sz val="11"/>
        <rFont val="Calibri"/>
        <family val="2"/>
      </rPr>
      <t xml:space="preserve"> 2.0.</t>
    </r>
  </si>
  <si>
    <r>
      <rPr>
        <b/>
        <sz val="11"/>
        <color indexed="8"/>
        <rFont val="Calibri"/>
        <family val="2"/>
      </rPr>
      <t>TOROmistrz</t>
    </r>
    <r>
      <rPr>
        <sz val="11"/>
        <color indexed="8"/>
        <rFont val="Calibri"/>
        <family val="2"/>
      </rPr>
      <t xml:space="preserve"> 2.0.</t>
    </r>
  </si>
  <si>
    <r>
      <t xml:space="preserve">Prosta - Krzywa przejściowa - Łuk
Prosta - Łuk
</t>
    </r>
    <r>
      <rPr>
        <sz val="8"/>
        <color indexed="8"/>
        <rFont val="Calibri"/>
        <family val="2"/>
      </rPr>
      <t>wg WT, jakim powinny odpowiadać budowle kolejowe i ich usytuowanie</t>
    </r>
  </si>
  <si>
    <r>
      <t xml:space="preserve">Łuk - Krzywa przejściowa - Łuk
</t>
    </r>
    <r>
      <rPr>
        <sz val="8"/>
        <color indexed="8"/>
        <rFont val="Calibri"/>
        <family val="2"/>
      </rPr>
      <t>wg WT, jakim powinny odpowiadać budowle kolejowe i ich usytuowanie</t>
    </r>
  </si>
  <si>
    <r>
      <t xml:space="preserve">Wyokrąglenia łuków pionowych
</t>
    </r>
    <r>
      <rPr>
        <sz val="8"/>
        <color indexed="8"/>
        <rFont val="Calibri"/>
        <family val="2"/>
      </rPr>
      <t>wg WT, jakim powinny odpowiadać budowle kolejowe i ich usytuowanie</t>
    </r>
  </si>
  <si>
    <r>
      <t xml:space="preserve">Łuki koszowe, Łuki odwrotnego kierunku
Łuki oddzielone wstawką prostą
</t>
    </r>
    <r>
      <rPr>
        <sz val="8"/>
        <color indexed="8"/>
        <rFont val="Calibri"/>
        <family val="2"/>
      </rPr>
      <t>wg WT, jakim powinny odpowiadać budowle kolejowe i ich usytuowanie</t>
    </r>
  </si>
  <si>
    <r>
      <t xml:space="preserve">Modernizacja linii kolejowej
</t>
    </r>
    <r>
      <rPr>
        <sz val="8"/>
        <color indexed="8"/>
        <rFont val="Calibri"/>
        <family val="2"/>
      </rPr>
      <t>obliczenia układu geometrycznego na całej długości linii kolejowej</t>
    </r>
  </si>
  <si>
    <t xml:space="preserve"> </t>
  </si>
  <si>
    <t>Cant deficiency</t>
  </si>
  <si>
    <t>Minimalny promień łuku poziomego - zasadnicza wartość graniczna</t>
  </si>
  <si>
    <t>Minimalny promień łuku poziomego - dopuszczalna wartość graniczna</t>
  </si>
  <si>
    <t>Minimum curve radius - normal limit</t>
  </si>
  <si>
    <t>Minimum curve radius - exceptional limit</t>
  </si>
  <si>
    <t>Elim</t>
  </si>
  <si>
    <t>Cant excess - normal limit</t>
  </si>
  <si>
    <t>Cant deficiency - normal limit</t>
  </si>
  <si>
    <t>Cant deficiency - exceptional limit</t>
  </si>
  <si>
    <t>Length of transition curve</t>
  </si>
  <si>
    <t>Curve radius</t>
  </si>
  <si>
    <t>Maximum speed of fast trains</t>
  </si>
  <si>
    <t>Minimum speed of slow trains</t>
  </si>
  <si>
    <r>
      <t xml:space="preserve">Prosta - Krzywa przejściowa - Łuk
</t>
    </r>
    <r>
      <rPr>
        <sz val="8"/>
        <color indexed="8"/>
        <rFont val="Calibri"/>
        <family val="2"/>
      </rPr>
      <t>wg normy EN 13803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</si>
</sst>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9"/>
      <name val="Calibri"/>
      <family val="0"/>
    </font>
    <font>
      <b/>
      <sz val="10"/>
      <color indexed="9"/>
      <name val="Calibri"/>
      <family val="0"/>
    </font>
    <font>
      <b/>
      <sz val="10.5"/>
      <color indexed="9"/>
      <name val="Calibri"/>
      <family val="0"/>
    </font>
    <font>
      <sz val="8"/>
      <color indexed="9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5" borderId="0" xfId="0" applyFill="1" applyAlignment="1">
      <alignment/>
    </xf>
    <xf numFmtId="0" fontId="0" fillId="20" borderId="0" xfId="0" applyFill="1" applyAlignment="1">
      <alignment/>
    </xf>
    <xf numFmtId="0" fontId="2" fillId="26" borderId="11" xfId="0" applyFont="1" applyFill="1" applyBorder="1" applyAlignment="1">
      <alignment horizontal="center"/>
    </xf>
    <xf numFmtId="0" fontId="0" fillId="26" borderId="12" xfId="0" applyFill="1" applyBorder="1" applyAlignment="1">
      <alignment wrapText="1"/>
    </xf>
    <xf numFmtId="0" fontId="0" fillId="26" borderId="13" xfId="0" applyFill="1" applyBorder="1" applyAlignment="1">
      <alignment/>
    </xf>
    <xf numFmtId="1" fontId="0" fillId="26" borderId="14" xfId="0" applyNumberFormat="1" applyFill="1" applyBorder="1" applyAlignment="1">
      <alignment/>
    </xf>
    <xf numFmtId="165" fontId="0" fillId="26" borderId="14" xfId="0" applyNumberFormat="1" applyFill="1" applyBorder="1" applyAlignment="1">
      <alignment/>
    </xf>
    <xf numFmtId="164" fontId="0" fillId="26" borderId="14" xfId="0" applyNumberFormat="1" applyFill="1" applyBorder="1" applyAlignment="1">
      <alignment/>
    </xf>
    <xf numFmtId="0" fontId="0" fillId="26" borderId="13" xfId="0" applyFill="1" applyBorder="1" applyAlignment="1">
      <alignment wrapText="1"/>
    </xf>
    <xf numFmtId="0" fontId="0" fillId="26" borderId="15" xfId="0" applyFill="1" applyBorder="1" applyAlignment="1">
      <alignment wrapText="1"/>
    </xf>
    <xf numFmtId="0" fontId="0" fillId="26" borderId="16" xfId="0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18" xfId="0" applyFill="1" applyBorder="1" applyAlignment="1">
      <alignment/>
    </xf>
    <xf numFmtId="0" fontId="0" fillId="26" borderId="19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2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22" xfId="0" applyFill="1" applyBorder="1" applyAlignment="1">
      <alignment/>
    </xf>
    <xf numFmtId="2" fontId="0" fillId="26" borderId="10" xfId="0" applyNumberFormat="1" applyFill="1" applyBorder="1" applyAlignment="1">
      <alignment/>
    </xf>
    <xf numFmtId="0" fontId="6" fillId="20" borderId="0" xfId="0" applyFont="1" applyFill="1" applyAlignment="1">
      <alignment/>
    </xf>
    <xf numFmtId="0" fontId="5" fillId="26" borderId="12" xfId="0" applyFont="1" applyFill="1" applyBorder="1" applyAlignment="1">
      <alignment wrapText="1"/>
    </xf>
    <xf numFmtId="0" fontId="5" fillId="26" borderId="23" xfId="0" applyFont="1" applyFill="1" applyBorder="1" applyAlignment="1">
      <alignment wrapText="1"/>
    </xf>
    <xf numFmtId="0" fontId="0" fillId="26" borderId="13" xfId="0" applyFill="1" applyBorder="1" applyAlignment="1">
      <alignment/>
    </xf>
    <xf numFmtId="0" fontId="0" fillId="26" borderId="24" xfId="0" applyFill="1" applyBorder="1" applyAlignment="1">
      <alignment/>
    </xf>
    <xf numFmtId="0" fontId="7" fillId="26" borderId="13" xfId="0" applyFont="1" applyFill="1" applyBorder="1" applyAlignment="1">
      <alignment wrapText="1"/>
    </xf>
    <xf numFmtId="0" fontId="5" fillId="26" borderId="15" xfId="0" applyFont="1" applyFill="1" applyBorder="1" applyAlignment="1">
      <alignment wrapText="1"/>
    </xf>
    <xf numFmtId="0" fontId="0" fillId="26" borderId="13" xfId="0" applyFill="1" applyBorder="1" applyAlignment="1">
      <alignment horizontal="left" wrapText="1"/>
    </xf>
    <xf numFmtId="0" fontId="0" fillId="26" borderId="24" xfId="0" applyFill="1" applyBorder="1" applyAlignment="1">
      <alignment horizontal="left" wrapText="1"/>
    </xf>
    <xf numFmtId="0" fontId="0" fillId="26" borderId="22" xfId="0" applyFill="1" applyBorder="1" applyAlignment="1">
      <alignment/>
    </xf>
    <xf numFmtId="0" fontId="0" fillId="26" borderId="25" xfId="0" applyFill="1" applyBorder="1" applyAlignment="1">
      <alignment/>
    </xf>
    <xf numFmtId="0" fontId="0" fillId="26" borderId="26" xfId="0" applyFill="1" applyBorder="1" applyAlignment="1">
      <alignment/>
    </xf>
    <xf numFmtId="0" fontId="0" fillId="26" borderId="27" xfId="0" applyFill="1" applyBorder="1" applyAlignment="1">
      <alignment wrapText="1"/>
    </xf>
    <xf numFmtId="0" fontId="0" fillId="26" borderId="28" xfId="0" applyFill="1" applyBorder="1" applyAlignment="1">
      <alignment/>
    </xf>
    <xf numFmtId="0" fontId="0" fillId="26" borderId="29" xfId="0" applyFill="1" applyBorder="1" applyAlignment="1">
      <alignment horizontal="left" wrapText="1"/>
    </xf>
    <xf numFmtId="0" fontId="8" fillId="20" borderId="0" xfId="0" applyFont="1" applyFill="1" applyAlignment="1">
      <alignment/>
    </xf>
    <xf numFmtId="0" fontId="8" fillId="20" borderId="0" xfId="0" applyFont="1" applyFill="1" applyAlignment="1">
      <alignment/>
    </xf>
    <xf numFmtId="164" fontId="0" fillId="26" borderId="10" xfId="0" applyNumberFormat="1" applyFill="1" applyBorder="1" applyAlignment="1">
      <alignment/>
    </xf>
    <xf numFmtId="1" fontId="0" fillId="26" borderId="10" xfId="0" applyNumberFormat="1" applyFill="1" applyBorder="1" applyAlignment="1">
      <alignment/>
    </xf>
    <xf numFmtId="0" fontId="0" fillId="26" borderId="25" xfId="0" applyFill="1" applyBorder="1" applyAlignment="1">
      <alignment/>
    </xf>
    <xf numFmtId="0" fontId="0" fillId="26" borderId="30" xfId="0" applyFill="1" applyBorder="1" applyAlignment="1">
      <alignment/>
    </xf>
    <xf numFmtId="0" fontId="5" fillId="26" borderId="30" xfId="0" applyFont="1" applyFill="1" applyBorder="1" applyAlignment="1">
      <alignment wrapText="1"/>
    </xf>
    <xf numFmtId="0" fontId="0" fillId="26" borderId="30" xfId="0" applyFill="1" applyBorder="1" applyAlignment="1">
      <alignment wrapText="1"/>
    </xf>
    <xf numFmtId="0" fontId="5" fillId="26" borderId="17" xfId="0" applyFont="1" applyFill="1" applyBorder="1" applyAlignment="1">
      <alignment wrapText="1"/>
    </xf>
    <xf numFmtId="0" fontId="9" fillId="20" borderId="0" xfId="0" applyFont="1" applyFill="1" applyAlignment="1">
      <alignment horizontal="right"/>
    </xf>
    <xf numFmtId="0" fontId="10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18" xfId="0" applyFill="1" applyBorder="1" applyAlignment="1">
      <alignment/>
    </xf>
    <xf numFmtId="165" fontId="0" fillId="0" borderId="19" xfId="0" applyNumberForma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165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 horizontal="left" wrapText="1"/>
    </xf>
    <xf numFmtId="164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4" xfId="0" applyFill="1" applyBorder="1" applyAlignment="1">
      <alignment wrapText="1"/>
    </xf>
    <xf numFmtId="165" fontId="0" fillId="0" borderId="38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3" fillId="20" borderId="0" xfId="0" applyFont="1" applyFill="1" applyBorder="1" applyAlignment="1">
      <alignment/>
    </xf>
    <xf numFmtId="0" fontId="0" fillId="21" borderId="0" xfId="0" applyFill="1" applyAlignment="1">
      <alignment/>
    </xf>
    <xf numFmtId="0" fontId="0" fillId="26" borderId="31" xfId="0" applyFill="1" applyBorder="1" applyAlignment="1">
      <alignment wrapText="1"/>
    </xf>
    <xf numFmtId="0" fontId="0" fillId="26" borderId="32" xfId="0" applyFill="1" applyBorder="1" applyAlignment="1">
      <alignment/>
    </xf>
    <xf numFmtId="1" fontId="0" fillId="26" borderId="33" xfId="0" applyNumberFormat="1" applyFill="1" applyBorder="1" applyAlignment="1">
      <alignment/>
    </xf>
    <xf numFmtId="165" fontId="0" fillId="26" borderId="10" xfId="0" applyNumberFormat="1" applyFill="1" applyBorder="1" applyAlignment="1">
      <alignment/>
    </xf>
    <xf numFmtId="2" fontId="0" fillId="26" borderId="21" xfId="0" applyNumberFormat="1" applyFill="1" applyBorder="1" applyAlignment="1">
      <alignment/>
    </xf>
    <xf numFmtId="0" fontId="5" fillId="26" borderId="12" xfId="0" applyFont="1" applyFill="1" applyBorder="1" applyAlignment="1">
      <alignment wrapText="1"/>
    </xf>
    <xf numFmtId="2" fontId="0" fillId="26" borderId="39" xfId="0" applyNumberFormat="1" applyFill="1" applyBorder="1" applyAlignment="1">
      <alignment/>
    </xf>
    <xf numFmtId="0" fontId="0" fillId="26" borderId="23" xfId="0" applyFill="1" applyBorder="1" applyAlignment="1">
      <alignment wrapText="1"/>
    </xf>
    <xf numFmtId="2" fontId="0" fillId="26" borderId="19" xfId="0" applyNumberFormat="1" applyFill="1" applyBorder="1" applyAlignment="1">
      <alignment/>
    </xf>
    <xf numFmtId="0" fontId="0" fillId="26" borderId="16" xfId="0" applyFill="1" applyBorder="1" applyAlignment="1">
      <alignment horizontal="left" wrapText="1"/>
    </xf>
    <xf numFmtId="0" fontId="2" fillId="26" borderId="28" xfId="0" applyFont="1" applyFill="1" applyBorder="1" applyAlignment="1">
      <alignment horizontal="center"/>
    </xf>
    <xf numFmtId="0" fontId="2" fillId="26" borderId="40" xfId="0" applyFont="1" applyFill="1" applyBorder="1" applyAlignment="1">
      <alignment horizontal="center"/>
    </xf>
    <xf numFmtId="0" fontId="2" fillId="26" borderId="31" xfId="0" applyFont="1" applyFill="1" applyBorder="1" applyAlignment="1">
      <alignment horizontal="center"/>
    </xf>
    <xf numFmtId="0" fontId="2" fillId="26" borderId="32" xfId="0" applyFont="1" applyFill="1" applyBorder="1" applyAlignment="1">
      <alignment horizontal="center"/>
    </xf>
    <xf numFmtId="0" fontId="2" fillId="26" borderId="33" xfId="0" applyFont="1" applyFill="1" applyBorder="1" applyAlignment="1">
      <alignment horizontal="center"/>
    </xf>
    <xf numFmtId="0" fontId="3" fillId="26" borderId="41" xfId="0" applyFont="1" applyFill="1" applyBorder="1" applyAlignment="1">
      <alignment horizontal="center" wrapText="1"/>
    </xf>
    <xf numFmtId="0" fontId="3" fillId="26" borderId="42" xfId="0" applyFont="1" applyFill="1" applyBorder="1" applyAlignment="1">
      <alignment horizontal="center"/>
    </xf>
    <xf numFmtId="0" fontId="3" fillId="26" borderId="43" xfId="0" applyFont="1" applyFill="1" applyBorder="1" applyAlignment="1">
      <alignment horizontal="center"/>
    </xf>
    <xf numFmtId="0" fontId="2" fillId="26" borderId="44" xfId="0" applyFont="1" applyFill="1" applyBorder="1" applyAlignment="1">
      <alignment horizontal="center"/>
    </xf>
    <xf numFmtId="0" fontId="2" fillId="26" borderId="4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5" fillId="24" borderId="14" xfId="0" applyFont="1" applyFill="1" applyBorder="1" applyAlignment="1">
      <alignment horizontal="left"/>
    </xf>
    <xf numFmtId="0" fontId="5" fillId="24" borderId="25" xfId="0" applyFont="1" applyFill="1" applyBorder="1" applyAlignment="1">
      <alignment horizontal="left"/>
    </xf>
    <xf numFmtId="0" fontId="5" fillId="24" borderId="26" xfId="0" applyFont="1" applyFill="1" applyBorder="1" applyAlignment="1">
      <alignment horizontal="left"/>
    </xf>
    <xf numFmtId="0" fontId="0" fillId="26" borderId="15" xfId="0" applyFill="1" applyBorder="1" applyAlignment="1">
      <alignment horizontal="left" vertical="center"/>
    </xf>
    <xf numFmtId="0" fontId="0" fillId="26" borderId="27" xfId="0" applyFill="1" applyBorder="1" applyAlignment="1">
      <alignment horizontal="left" vertical="center"/>
    </xf>
    <xf numFmtId="0" fontId="0" fillId="26" borderId="41" xfId="0" applyFill="1" applyBorder="1" applyAlignment="1">
      <alignment horizontal="center"/>
    </xf>
    <xf numFmtId="0" fontId="0" fillId="26" borderId="42" xfId="0" applyFill="1" applyBorder="1" applyAlignment="1">
      <alignment horizontal="center"/>
    </xf>
    <xf numFmtId="0" fontId="0" fillId="26" borderId="43" xfId="0" applyFill="1" applyBorder="1" applyAlignment="1">
      <alignment horizontal="center"/>
    </xf>
    <xf numFmtId="0" fontId="2" fillId="26" borderId="22" xfId="0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/>
    </xf>
    <xf numFmtId="0" fontId="2" fillId="26" borderId="26" xfId="0" applyFont="1" applyFill="1" applyBorder="1" applyAlignment="1">
      <alignment horizontal="center"/>
    </xf>
    <xf numFmtId="0" fontId="2" fillId="26" borderId="47" xfId="0" applyFont="1" applyFill="1" applyBorder="1" applyAlignment="1">
      <alignment horizontal="center"/>
    </xf>
    <xf numFmtId="0" fontId="2" fillId="26" borderId="48" xfId="0" applyFont="1" applyFill="1" applyBorder="1" applyAlignment="1">
      <alignment horizontal="center"/>
    </xf>
    <xf numFmtId="0" fontId="2" fillId="26" borderId="3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" fillId="26" borderId="41" xfId="0" applyFont="1" applyFill="1" applyBorder="1" applyAlignment="1">
      <alignment horizontal="center"/>
    </xf>
    <xf numFmtId="0" fontId="2" fillId="26" borderId="42" xfId="0" applyFont="1" applyFill="1" applyBorder="1" applyAlignment="1">
      <alignment horizontal="center"/>
    </xf>
    <xf numFmtId="0" fontId="2" fillId="26" borderId="43" xfId="0" applyFont="1" applyFill="1" applyBorder="1" applyAlignment="1">
      <alignment horizontal="center"/>
    </xf>
    <xf numFmtId="0" fontId="3" fillId="26" borderId="42" xfId="0" applyFont="1" applyFill="1" applyBorder="1" applyAlignment="1">
      <alignment horizontal="center" wrapText="1"/>
    </xf>
    <xf numFmtId="0" fontId="2" fillId="26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3" fillId="26" borderId="43" xfId="0" applyFont="1" applyFill="1" applyBorder="1" applyAlignment="1">
      <alignment horizontal="center" wrapText="1"/>
    </xf>
    <xf numFmtId="0" fontId="0" fillId="26" borderId="17" xfId="0" applyFill="1" applyBorder="1" applyAlignment="1">
      <alignment wrapText="1"/>
    </xf>
    <xf numFmtId="2" fontId="0" fillId="26" borderId="17" xfId="0" applyNumberFormat="1" applyFill="1" applyBorder="1" applyAlignment="1">
      <alignment wrapText="1"/>
    </xf>
    <xf numFmtId="1" fontId="0" fillId="26" borderId="17" xfId="0" applyNumberForma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6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P-K-&#321; (WT)'!A1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hyperlink" Target="#'P-K-&#321; (WT)'!A1" /><Relationship Id="rId6" Type="http://schemas.openxmlformats.org/officeDocument/2006/relationships/hyperlink" Target="#'P-K-&#321; (WT)'!A1" /><Relationship Id="rId7" Type="http://schemas.openxmlformats.org/officeDocument/2006/relationships/image" Target="../media/image4.png" /><Relationship Id="rId8" Type="http://schemas.openxmlformats.org/officeDocument/2006/relationships/hyperlink" Target="#'P-K-&#321; (WT)'!A1" /><Relationship Id="rId9" Type="http://schemas.openxmlformats.org/officeDocument/2006/relationships/hyperlink" Target="#'P-K-&#321; (WT)'!A1" /><Relationship Id="rId10" Type="http://schemas.openxmlformats.org/officeDocument/2006/relationships/hyperlink" Target="#'&#321;-K-&#321;'!A1" /><Relationship Id="rId11" Type="http://schemas.openxmlformats.org/officeDocument/2006/relationships/image" Target="../media/image5.png" /><Relationship Id="rId12" Type="http://schemas.openxmlformats.org/officeDocument/2006/relationships/hyperlink" Target="#'&#321;-K-&#321;'!A1" /><Relationship Id="rId13" Type="http://schemas.openxmlformats.org/officeDocument/2006/relationships/hyperlink" Target="#'&#321;-K-&#321;'!A1" /><Relationship Id="rId14" Type="http://schemas.openxmlformats.org/officeDocument/2006/relationships/hyperlink" Target="#'&#322;uki koszowe'!A1" /><Relationship Id="rId15" Type="http://schemas.openxmlformats.org/officeDocument/2006/relationships/image" Target="../media/image6.png" /><Relationship Id="rId16" Type="http://schemas.openxmlformats.org/officeDocument/2006/relationships/hyperlink" Target="#'&#321;-K-&#321;'!A1" /><Relationship Id="rId17" Type="http://schemas.openxmlformats.org/officeDocument/2006/relationships/hyperlink" Target="#'&#321;-K-&#321;'!A1" /><Relationship Id="rId18" Type="http://schemas.openxmlformats.org/officeDocument/2006/relationships/hyperlink" Target="#'P-K-&#321; (EN)'!A1" /><Relationship Id="rId19" Type="http://schemas.openxmlformats.org/officeDocument/2006/relationships/image" Target="../media/image7.png" /><Relationship Id="rId20" Type="http://schemas.openxmlformats.org/officeDocument/2006/relationships/hyperlink" Target="#'P-K-&#321; (EN)'!A1" /><Relationship Id="rId21" Type="http://schemas.openxmlformats.org/officeDocument/2006/relationships/hyperlink" Target="#'P-K-&#321; (EN)'!A1" /><Relationship Id="rId22" Type="http://schemas.openxmlformats.org/officeDocument/2006/relationships/image" Target="../media/image8.png" /><Relationship Id="rId23" Type="http://schemas.openxmlformats.org/officeDocument/2006/relationships/hyperlink" Target="#'P-K-&#321; (EN)'!A1" /><Relationship Id="rId24" Type="http://schemas.openxmlformats.org/officeDocument/2006/relationships/hyperlink" Target="#'P-K-&#321; (EN)'!A1" /><Relationship Id="rId25" Type="http://schemas.openxmlformats.org/officeDocument/2006/relationships/hyperlink" Target="#'&#322;uki pionowe'!A1" /><Relationship Id="rId26" Type="http://schemas.openxmlformats.org/officeDocument/2006/relationships/image" Target="../media/image9.png" /><Relationship Id="rId27" Type="http://schemas.openxmlformats.org/officeDocument/2006/relationships/hyperlink" Target="#'&#322;uki pionowe'!A1" /><Relationship Id="rId28" Type="http://schemas.openxmlformats.org/officeDocument/2006/relationships/hyperlink" Target="#'&#322;uki pionowe'!A1" /><Relationship Id="rId29" Type="http://schemas.openxmlformats.org/officeDocument/2006/relationships/hyperlink" Target="#modernizacja!A1" /><Relationship Id="rId30" Type="http://schemas.openxmlformats.org/officeDocument/2006/relationships/image" Target="../media/image10.png" /><Relationship Id="rId31" Type="http://schemas.openxmlformats.org/officeDocument/2006/relationships/image" Target="../media/image11.png" /><Relationship Id="rId3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hyperlink" Target="#'str tyt'!A1" /><Relationship Id="rId3" Type="http://schemas.openxmlformats.org/officeDocument/2006/relationships/hyperlink" Target="#'str tyt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hyperlink" Target="#'str tyt'!A1" /><Relationship Id="rId3" Type="http://schemas.openxmlformats.org/officeDocument/2006/relationships/hyperlink" Target="#'str tyt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4.png" /><Relationship Id="rId3" Type="http://schemas.openxmlformats.org/officeDocument/2006/relationships/hyperlink" Target="#'str tyt'!A1" /><Relationship Id="rId4" Type="http://schemas.openxmlformats.org/officeDocument/2006/relationships/hyperlink" Target="#'str tyt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4.png" /><Relationship Id="rId3" Type="http://schemas.openxmlformats.org/officeDocument/2006/relationships/hyperlink" Target="#'str tyt'!A1" /><Relationship Id="rId4" Type="http://schemas.openxmlformats.org/officeDocument/2006/relationships/hyperlink" Target="#'str tyt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hyperlink" Target="#'str tyt'!A1" /><Relationship Id="rId3" Type="http://schemas.openxmlformats.org/officeDocument/2006/relationships/hyperlink" Target="#'str tyt'!A1" /><Relationship Id="rId4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hyperlink" Target="#'str tyt'!A1" /><Relationship Id="rId3" Type="http://schemas.openxmlformats.org/officeDocument/2006/relationships/hyperlink" Target="#'str tyt'!A1" /><Relationship Id="rId4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304800</xdr:colOff>
      <xdr:row>29</xdr:row>
      <xdr:rowOff>104775</xdr:rowOff>
    </xdr:to>
    <xdr:pic>
      <xdr:nvPicPr>
        <xdr:cNvPr id="1" name="Picture 1" descr="ET22_1023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85725</xdr:rowOff>
    </xdr:from>
    <xdr:to>
      <xdr:col>10</xdr:col>
      <xdr:colOff>352425</xdr:colOff>
      <xdr:row>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85900" y="85725"/>
          <a:ext cx="4962525" cy="1200150"/>
        </a:xfrm>
        <a:prstGeom prst="rect">
          <a:avLst/>
        </a:prstGeom>
        <a:solidFill>
          <a:srgbClr val="000000">
            <a:alpha val="53000"/>
          </a:srgbClr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Arkusz obliczeniowy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wspomagający projektowanie układów geometrycznych linii kolejowych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opracował: Damian Kosicki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wersja: 2.0 robocza 2012</a:t>
          </a:r>
        </a:p>
      </xdr:txBody>
    </xdr:sp>
    <xdr:clientData/>
  </xdr:twoCellAnchor>
  <xdr:twoCellAnchor>
    <xdr:from>
      <xdr:col>0</xdr:col>
      <xdr:colOff>142875</xdr:colOff>
      <xdr:row>9</xdr:row>
      <xdr:rowOff>19050</xdr:rowOff>
    </xdr:from>
    <xdr:to>
      <xdr:col>4</xdr:col>
      <xdr:colOff>123825</xdr:colOff>
      <xdr:row>12</xdr:row>
      <xdr:rowOff>9525</xdr:rowOff>
    </xdr:to>
    <xdr:sp>
      <xdr:nvSpPr>
        <xdr:cNvPr id="3" name="Text Box 3">
          <a:hlinkClick r:id="rId2"/>
        </xdr:cNvPr>
        <xdr:cNvSpPr txBox="1">
          <a:spLocks noChangeArrowheads="1"/>
        </xdr:cNvSpPr>
      </xdr:nvSpPr>
      <xdr:spPr>
        <a:xfrm>
          <a:off x="142875" y="1733550"/>
          <a:ext cx="2419350" cy="561975"/>
        </a:xfrm>
        <a:prstGeom prst="rect">
          <a:avLst/>
        </a:prstGeom>
        <a:solidFill>
          <a:srgbClr val="000000">
            <a:alpha val="53000"/>
          </a:srgbClr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Prosta - Krzywa przejściowa - Łuk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Prosta - Łuk
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wg WT, ...</a:t>
          </a:r>
        </a:p>
      </xdr:txBody>
    </xdr:sp>
    <xdr:clientData/>
  </xdr:twoCellAnchor>
  <xdr:twoCellAnchor editAs="oneCell">
    <xdr:from>
      <xdr:col>2</xdr:col>
      <xdr:colOff>323850</xdr:colOff>
      <xdr:row>1</xdr:row>
      <xdr:rowOff>38100</xdr:rowOff>
    </xdr:from>
    <xdr:to>
      <xdr:col>3</xdr:col>
      <xdr:colOff>514350</xdr:colOff>
      <xdr:row>9</xdr:row>
      <xdr:rowOff>57150</xdr:rowOff>
    </xdr:to>
    <xdr:pic>
      <xdr:nvPicPr>
        <xdr:cNvPr id="4" name="Picture 435" descr="TOROmistrz v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28600"/>
          <a:ext cx="800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123825</xdr:rowOff>
    </xdr:from>
    <xdr:to>
      <xdr:col>6</xdr:col>
      <xdr:colOff>200025</xdr:colOff>
      <xdr:row>12</xdr:row>
      <xdr:rowOff>123825</xdr:rowOff>
    </xdr:to>
    <xdr:pic>
      <xdr:nvPicPr>
        <xdr:cNvPr id="5" name="Picture 449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1647825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8</xdr:row>
      <xdr:rowOff>133350</xdr:rowOff>
    </xdr:from>
    <xdr:to>
      <xdr:col>7</xdr:col>
      <xdr:colOff>600075</xdr:colOff>
      <xdr:row>12</xdr:row>
      <xdr:rowOff>142875</xdr:rowOff>
    </xdr:to>
    <xdr:pic>
      <xdr:nvPicPr>
        <xdr:cNvPr id="6" name="Picture 461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457575" y="1657350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12</xdr:row>
      <xdr:rowOff>85725</xdr:rowOff>
    </xdr:from>
    <xdr:to>
      <xdr:col>4</xdr:col>
      <xdr:colOff>133350</xdr:colOff>
      <xdr:row>14</xdr:row>
      <xdr:rowOff>133350</xdr:rowOff>
    </xdr:to>
    <xdr:sp>
      <xdr:nvSpPr>
        <xdr:cNvPr id="7" name="Text Box 3">
          <a:hlinkClick r:id="rId10"/>
        </xdr:cNvPr>
        <xdr:cNvSpPr txBox="1">
          <a:spLocks noChangeArrowheads="1"/>
        </xdr:cNvSpPr>
      </xdr:nvSpPr>
      <xdr:spPr>
        <a:xfrm>
          <a:off x="152400" y="2371725"/>
          <a:ext cx="2419350" cy="428625"/>
        </a:xfrm>
        <a:prstGeom prst="rect">
          <a:avLst/>
        </a:prstGeom>
        <a:solidFill>
          <a:srgbClr val="000000">
            <a:alpha val="53000"/>
          </a:srgbClr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Łuk - Krzywa przejściowa - Łuk
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wg WT, ...</a:t>
          </a:r>
        </a:p>
      </xdr:txBody>
    </xdr:sp>
    <xdr:clientData/>
  </xdr:twoCellAnchor>
  <xdr:twoCellAnchor editAs="oneCell">
    <xdr:from>
      <xdr:col>4</xdr:col>
      <xdr:colOff>28575</xdr:colOff>
      <xdr:row>11</xdr:row>
      <xdr:rowOff>133350</xdr:rowOff>
    </xdr:from>
    <xdr:to>
      <xdr:col>6</xdr:col>
      <xdr:colOff>209550</xdr:colOff>
      <xdr:row>15</xdr:row>
      <xdr:rowOff>133350</xdr:rowOff>
    </xdr:to>
    <xdr:pic>
      <xdr:nvPicPr>
        <xdr:cNvPr id="8" name="Picture 474">
          <a:hlinkClick r:id="rId13"/>
        </xdr:cNvPr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466975" y="2228850"/>
          <a:ext cx="1400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15</xdr:row>
      <xdr:rowOff>28575</xdr:rowOff>
    </xdr:from>
    <xdr:to>
      <xdr:col>4</xdr:col>
      <xdr:colOff>133350</xdr:colOff>
      <xdr:row>18</xdr:row>
      <xdr:rowOff>28575</xdr:rowOff>
    </xdr:to>
    <xdr:sp>
      <xdr:nvSpPr>
        <xdr:cNvPr id="9" name="Text Box 3">
          <a:hlinkClick r:id="rId14"/>
        </xdr:cNvPr>
        <xdr:cNvSpPr txBox="1">
          <a:spLocks noChangeArrowheads="1"/>
        </xdr:cNvSpPr>
      </xdr:nvSpPr>
      <xdr:spPr>
        <a:xfrm>
          <a:off x="152400" y="2886075"/>
          <a:ext cx="2419350" cy="571500"/>
        </a:xfrm>
        <a:prstGeom prst="rect">
          <a:avLst/>
        </a:prstGeom>
        <a:solidFill>
          <a:srgbClr val="000000">
            <a:alpha val="53000"/>
          </a:srgbClr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Łuki koszowe, Łuki odwrotnego kierunku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Łuki oddzielone wstawką prostą
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wg WT, ...</a:t>
          </a:r>
        </a:p>
      </xdr:txBody>
    </xdr:sp>
    <xdr:clientData/>
  </xdr:twoCellAnchor>
  <xdr:twoCellAnchor editAs="oneCell">
    <xdr:from>
      <xdr:col>4</xdr:col>
      <xdr:colOff>0</xdr:colOff>
      <xdr:row>14</xdr:row>
      <xdr:rowOff>152400</xdr:rowOff>
    </xdr:from>
    <xdr:to>
      <xdr:col>6</xdr:col>
      <xdr:colOff>190500</xdr:colOff>
      <xdr:row>18</xdr:row>
      <xdr:rowOff>171450</xdr:rowOff>
    </xdr:to>
    <xdr:pic>
      <xdr:nvPicPr>
        <xdr:cNvPr id="10" name="Picture 515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8400" y="2819400"/>
          <a:ext cx="1409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18</xdr:row>
      <xdr:rowOff>133350</xdr:rowOff>
    </xdr:from>
    <xdr:to>
      <xdr:col>4</xdr:col>
      <xdr:colOff>123825</xdr:colOff>
      <xdr:row>21</xdr:row>
      <xdr:rowOff>123825</xdr:rowOff>
    </xdr:to>
    <xdr:sp>
      <xdr:nvSpPr>
        <xdr:cNvPr id="11" name="Text Box 3">
          <a:hlinkClick r:id="rId18"/>
        </xdr:cNvPr>
        <xdr:cNvSpPr txBox="1">
          <a:spLocks noChangeArrowheads="1"/>
        </xdr:cNvSpPr>
      </xdr:nvSpPr>
      <xdr:spPr>
        <a:xfrm>
          <a:off x="142875" y="3562350"/>
          <a:ext cx="2419350" cy="561975"/>
        </a:xfrm>
        <a:prstGeom prst="rect">
          <a:avLst/>
        </a:prstGeom>
        <a:solidFill>
          <a:srgbClr val="000000">
            <a:alpha val="53000"/>
          </a:srgbClr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Prosta - Krzywa przejściowa - Łuk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Prosta - Łuk
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wg EN...</a:t>
          </a:r>
        </a:p>
      </xdr:txBody>
    </xdr:sp>
    <xdr:clientData/>
  </xdr:twoCellAnchor>
  <xdr:twoCellAnchor editAs="oneCell">
    <xdr:from>
      <xdr:col>4</xdr:col>
      <xdr:colOff>57150</xdr:colOff>
      <xdr:row>18</xdr:row>
      <xdr:rowOff>114300</xdr:rowOff>
    </xdr:from>
    <xdr:to>
      <xdr:col>6</xdr:col>
      <xdr:colOff>247650</xdr:colOff>
      <xdr:row>22</xdr:row>
      <xdr:rowOff>114300</xdr:rowOff>
    </xdr:to>
    <xdr:pic>
      <xdr:nvPicPr>
        <xdr:cNvPr id="12" name="Picture 449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95550" y="354330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18</xdr:row>
      <xdr:rowOff>123825</xdr:rowOff>
    </xdr:from>
    <xdr:to>
      <xdr:col>8</xdr:col>
      <xdr:colOff>38100</xdr:colOff>
      <xdr:row>22</xdr:row>
      <xdr:rowOff>133350</xdr:rowOff>
    </xdr:to>
    <xdr:pic>
      <xdr:nvPicPr>
        <xdr:cNvPr id="13" name="Picture 461">
          <a:hlinkClick r:id="rId24"/>
        </xdr:cNvPr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505200" y="3552825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22</xdr:row>
      <xdr:rowOff>66675</xdr:rowOff>
    </xdr:from>
    <xdr:to>
      <xdr:col>4</xdr:col>
      <xdr:colOff>123825</xdr:colOff>
      <xdr:row>24</xdr:row>
      <xdr:rowOff>114300</xdr:rowOff>
    </xdr:to>
    <xdr:sp>
      <xdr:nvSpPr>
        <xdr:cNvPr id="14" name="Text Box 3">
          <a:hlinkClick r:id="rId25"/>
        </xdr:cNvPr>
        <xdr:cNvSpPr txBox="1">
          <a:spLocks noChangeArrowheads="1"/>
        </xdr:cNvSpPr>
      </xdr:nvSpPr>
      <xdr:spPr>
        <a:xfrm>
          <a:off x="142875" y="4257675"/>
          <a:ext cx="2419350" cy="428625"/>
        </a:xfrm>
        <a:prstGeom prst="rect">
          <a:avLst/>
        </a:prstGeom>
        <a:solidFill>
          <a:srgbClr val="000000">
            <a:alpha val="53000"/>
          </a:srgbClr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Wyokrąglenia łuków pionowych
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wg WT, ...</a:t>
          </a:r>
        </a:p>
      </xdr:txBody>
    </xdr:sp>
    <xdr:clientData/>
  </xdr:twoCellAnchor>
  <xdr:twoCellAnchor editAs="oneCell">
    <xdr:from>
      <xdr:col>4</xdr:col>
      <xdr:colOff>19050</xdr:colOff>
      <xdr:row>21</xdr:row>
      <xdr:rowOff>142875</xdr:rowOff>
    </xdr:from>
    <xdr:to>
      <xdr:col>6</xdr:col>
      <xdr:colOff>200025</xdr:colOff>
      <xdr:row>25</xdr:row>
      <xdr:rowOff>142875</xdr:rowOff>
    </xdr:to>
    <xdr:pic>
      <xdr:nvPicPr>
        <xdr:cNvPr id="15" name="Picture 543">
          <a:hlinkClick r:id="rId28"/>
        </xdr:cNvPr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457450" y="4143375"/>
          <a:ext cx="1400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25</xdr:row>
      <xdr:rowOff>95250</xdr:rowOff>
    </xdr:from>
    <xdr:to>
      <xdr:col>4</xdr:col>
      <xdr:colOff>123825</xdr:colOff>
      <xdr:row>27</xdr:row>
      <xdr:rowOff>142875</xdr:rowOff>
    </xdr:to>
    <xdr:sp>
      <xdr:nvSpPr>
        <xdr:cNvPr id="16" name="Text Box 3">
          <a:hlinkClick r:id="rId29"/>
        </xdr:cNvPr>
        <xdr:cNvSpPr txBox="1">
          <a:spLocks noChangeArrowheads="1"/>
        </xdr:cNvSpPr>
      </xdr:nvSpPr>
      <xdr:spPr>
        <a:xfrm>
          <a:off x="142875" y="4857750"/>
          <a:ext cx="2419350" cy="428625"/>
        </a:xfrm>
        <a:prstGeom prst="rect">
          <a:avLst/>
        </a:prstGeom>
        <a:solidFill>
          <a:srgbClr val="000000">
            <a:alpha val="53000"/>
          </a:srgbClr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Modernizacja</a:t>
          </a:r>
        </a:p>
      </xdr:txBody>
    </xdr:sp>
    <xdr:clientData/>
  </xdr:twoCellAnchor>
  <xdr:twoCellAnchor editAs="oneCell">
    <xdr:from>
      <xdr:col>0</xdr:col>
      <xdr:colOff>142875</xdr:colOff>
      <xdr:row>16</xdr:row>
      <xdr:rowOff>9525</xdr:rowOff>
    </xdr:from>
    <xdr:to>
      <xdr:col>0</xdr:col>
      <xdr:colOff>533400</xdr:colOff>
      <xdr:row>19</xdr:row>
      <xdr:rowOff>152400</xdr:rowOff>
    </xdr:to>
    <xdr:pic>
      <xdr:nvPicPr>
        <xdr:cNvPr id="17" name="Picture 10" descr="strona_w_budowie_00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2875" y="3057525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19</xdr:row>
      <xdr:rowOff>114300</xdr:rowOff>
    </xdr:from>
    <xdr:to>
      <xdr:col>0</xdr:col>
      <xdr:colOff>542925</xdr:colOff>
      <xdr:row>23</xdr:row>
      <xdr:rowOff>66675</xdr:rowOff>
    </xdr:to>
    <xdr:pic>
      <xdr:nvPicPr>
        <xdr:cNvPr id="18" name="Picture 10" descr="strona_w_budowie_00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2400" y="3733800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25</xdr:row>
      <xdr:rowOff>123825</xdr:rowOff>
    </xdr:from>
    <xdr:to>
      <xdr:col>0</xdr:col>
      <xdr:colOff>542925</xdr:colOff>
      <xdr:row>29</xdr:row>
      <xdr:rowOff>76200</xdr:rowOff>
    </xdr:to>
    <xdr:pic>
      <xdr:nvPicPr>
        <xdr:cNvPr id="19" name="Picture 10" descr="strona_w_budowie_00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2400" y="4886325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638175</xdr:colOff>
      <xdr:row>3</xdr:row>
      <xdr:rowOff>142875</xdr:rowOff>
    </xdr:to>
    <xdr:pic>
      <xdr:nvPicPr>
        <xdr:cNvPr id="1" name="Picture 18" descr="TOROmistrz v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609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0</xdr:col>
      <xdr:colOff>647700</xdr:colOff>
      <xdr:row>3</xdr:row>
      <xdr:rowOff>114300</xdr:rowOff>
    </xdr:to>
    <xdr:pic>
      <xdr:nvPicPr>
        <xdr:cNvPr id="1" name="Picture 18" descr="TOROmistrz v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609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</xdr:row>
      <xdr:rowOff>19050</xdr:rowOff>
    </xdr:from>
    <xdr:to>
      <xdr:col>4</xdr:col>
      <xdr:colOff>2219325</xdr:colOff>
      <xdr:row>2</xdr:row>
      <xdr:rowOff>180975</xdr:rowOff>
    </xdr:to>
    <xdr:sp>
      <xdr:nvSpPr>
        <xdr:cNvPr id="1" name="WordArt 112"/>
        <xdr:cNvSpPr>
          <a:spLocks/>
        </xdr:cNvSpPr>
      </xdr:nvSpPr>
      <xdr:spPr>
        <a:xfrm rot="20069168">
          <a:off x="4324350" y="219075"/>
          <a:ext cx="1619250" cy="1028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UWAGA!!!wersja robocza</a:t>
          </a:r>
        </a:p>
      </xdr:txBody>
    </xdr:sp>
    <xdr:clientData/>
  </xdr:twoCellAnchor>
  <xdr:twoCellAnchor editAs="oneCell">
    <xdr:from>
      <xdr:col>4</xdr:col>
      <xdr:colOff>1276350</xdr:colOff>
      <xdr:row>1</xdr:row>
      <xdr:rowOff>247650</xdr:rowOff>
    </xdr:from>
    <xdr:to>
      <xdr:col>4</xdr:col>
      <xdr:colOff>1638300</xdr:colOff>
      <xdr:row>1</xdr:row>
      <xdr:rowOff>571500</xdr:rowOff>
    </xdr:to>
    <xdr:pic>
      <xdr:nvPicPr>
        <xdr:cNvPr id="2" name="Picture 2" descr="strona_w_budowie_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06096">
          <a:off x="5000625" y="44767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0</xdr:col>
      <xdr:colOff>647700</xdr:colOff>
      <xdr:row>3</xdr:row>
      <xdr:rowOff>123825</xdr:rowOff>
    </xdr:to>
    <xdr:pic>
      <xdr:nvPicPr>
        <xdr:cNvPr id="3" name="Picture 18" descr="TOROmistrz v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28600"/>
          <a:ext cx="609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1866900</xdr:colOff>
      <xdr:row>2</xdr:row>
      <xdr:rowOff>180975</xdr:rowOff>
    </xdr:to>
    <xdr:sp>
      <xdr:nvSpPr>
        <xdr:cNvPr id="1" name="WordArt 9"/>
        <xdr:cNvSpPr>
          <a:spLocks/>
        </xdr:cNvSpPr>
      </xdr:nvSpPr>
      <xdr:spPr>
        <a:xfrm rot="20069168">
          <a:off x="7639050" y="228600"/>
          <a:ext cx="1619250" cy="1028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UWAGA!!!wersja robocza</a:t>
          </a:r>
        </a:p>
      </xdr:txBody>
    </xdr:sp>
    <xdr:clientData/>
  </xdr:twoCellAnchor>
  <xdr:twoCellAnchor editAs="oneCell">
    <xdr:from>
      <xdr:col>5</xdr:col>
      <xdr:colOff>923925</xdr:colOff>
      <xdr:row>1</xdr:row>
      <xdr:rowOff>257175</xdr:rowOff>
    </xdr:from>
    <xdr:to>
      <xdr:col>5</xdr:col>
      <xdr:colOff>1285875</xdr:colOff>
      <xdr:row>1</xdr:row>
      <xdr:rowOff>581025</xdr:rowOff>
    </xdr:to>
    <xdr:pic>
      <xdr:nvPicPr>
        <xdr:cNvPr id="2" name="Picture 2" descr="strona_w_budowie_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06096">
          <a:off x="8315325" y="457200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28575</xdr:rowOff>
    </xdr:from>
    <xdr:to>
      <xdr:col>0</xdr:col>
      <xdr:colOff>628650</xdr:colOff>
      <xdr:row>3</xdr:row>
      <xdr:rowOff>114300</xdr:rowOff>
    </xdr:to>
    <xdr:pic>
      <xdr:nvPicPr>
        <xdr:cNvPr id="3" name="Picture 18" descr="TOROmistrz v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28600"/>
          <a:ext cx="609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0</xdr:col>
      <xdr:colOff>619125</xdr:colOff>
      <xdr:row>3</xdr:row>
      <xdr:rowOff>95250</xdr:rowOff>
    </xdr:to>
    <xdr:pic>
      <xdr:nvPicPr>
        <xdr:cNvPr id="1" name="Picture 18" descr="TOROmistrz v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609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219075</xdr:rowOff>
    </xdr:from>
    <xdr:to>
      <xdr:col>6</xdr:col>
      <xdr:colOff>533400</xdr:colOff>
      <xdr:row>3</xdr:row>
      <xdr:rowOff>161925</xdr:rowOff>
    </xdr:to>
    <xdr:sp>
      <xdr:nvSpPr>
        <xdr:cNvPr id="2" name="WordArt 112"/>
        <xdr:cNvSpPr>
          <a:spLocks/>
        </xdr:cNvSpPr>
      </xdr:nvSpPr>
      <xdr:spPr>
        <a:xfrm rot="20069168">
          <a:off x="3819525" y="419100"/>
          <a:ext cx="1619250" cy="1028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UWAGA!!!wersja robocza</a:t>
          </a:r>
        </a:p>
      </xdr:txBody>
    </xdr:sp>
    <xdr:clientData/>
  </xdr:twoCellAnchor>
  <xdr:twoCellAnchor editAs="oneCell">
    <xdr:from>
      <xdr:col>5</xdr:col>
      <xdr:colOff>200025</xdr:colOff>
      <xdr:row>1</xdr:row>
      <xdr:rowOff>447675</xdr:rowOff>
    </xdr:from>
    <xdr:to>
      <xdr:col>5</xdr:col>
      <xdr:colOff>561975</xdr:colOff>
      <xdr:row>1</xdr:row>
      <xdr:rowOff>771525</xdr:rowOff>
    </xdr:to>
    <xdr:pic>
      <xdr:nvPicPr>
        <xdr:cNvPr id="3" name="Picture 2" descr="strona_w_budowie_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006096">
          <a:off x="4495800" y="647700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1285875</xdr:colOff>
      <xdr:row>5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923925"/>
          <a:ext cx="6629400" cy="866775"/>
        </a:xfrm>
        <a:prstGeom prst="rect">
          <a:avLst/>
        </a:prstGeom>
        <a:solidFill>
          <a:srgbClr val="000000">
            <a:alpha val="53000"/>
          </a:srgbClr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Prace trwają . . .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676275</xdr:colOff>
      <xdr:row>2</xdr:row>
      <xdr:rowOff>133350</xdr:rowOff>
    </xdr:to>
    <xdr:pic>
      <xdr:nvPicPr>
        <xdr:cNvPr id="2" name="Picture 18" descr="TOROmistrz v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609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133350</xdr:rowOff>
    </xdr:from>
    <xdr:to>
      <xdr:col>2</xdr:col>
      <xdr:colOff>514350</xdr:colOff>
      <xdr:row>6</xdr:row>
      <xdr:rowOff>85725</xdr:rowOff>
    </xdr:to>
    <xdr:pic>
      <xdr:nvPicPr>
        <xdr:cNvPr id="3" name="Picture 10" descr="strona_w_budowie_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1228725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7109375" style="3" bestFit="1" customWidth="1"/>
    <col min="2" max="2" width="21.00390625" style="3" customWidth="1"/>
    <col min="3" max="3" width="14.421875" style="3" customWidth="1"/>
    <col min="4" max="4" width="16.421875" style="3" customWidth="1"/>
    <col min="5" max="5" width="55.28125" style="3" customWidth="1"/>
    <col min="6" max="9" width="9.140625" style="3" customWidth="1"/>
    <col min="10" max="10" width="11.28125" style="3" customWidth="1"/>
    <col min="11" max="16384" width="9.140625" style="3" customWidth="1"/>
  </cols>
  <sheetData>
    <row r="1" spans="1:5" ht="15.75" thickBot="1">
      <c r="A1" s="3" t="s">
        <v>146</v>
      </c>
      <c r="E1" s="47" t="s">
        <v>134</v>
      </c>
    </row>
    <row r="2" spans="1:5" ht="68.25" customHeight="1" thickBot="1">
      <c r="A2" s="98" t="s">
        <v>147</v>
      </c>
      <c r="B2" s="99"/>
      <c r="C2" s="99"/>
      <c r="D2" s="99"/>
      <c r="E2" s="100"/>
    </row>
    <row r="3" spans="1:5" ht="15">
      <c r="A3" s="95" t="s">
        <v>14</v>
      </c>
      <c r="B3" s="96"/>
      <c r="C3" s="96"/>
      <c r="D3" s="97"/>
      <c r="E3" s="4" t="s">
        <v>25</v>
      </c>
    </row>
    <row r="4" spans="1:22" ht="15">
      <c r="A4" s="111" t="s">
        <v>73</v>
      </c>
      <c r="B4" s="104" t="s">
        <v>68</v>
      </c>
      <c r="C4" s="104"/>
      <c r="D4" s="105"/>
      <c r="E4" s="26"/>
      <c r="G4" s="23" t="s">
        <v>68</v>
      </c>
      <c r="H4" s="23"/>
      <c r="I4" s="23"/>
      <c r="J4" s="23"/>
      <c r="K4" s="23">
        <v>0.8</v>
      </c>
      <c r="L4" s="23" t="s">
        <v>78</v>
      </c>
      <c r="M4" s="23">
        <v>0.6</v>
      </c>
      <c r="N4" s="23" t="s">
        <v>83</v>
      </c>
      <c r="O4" s="23"/>
      <c r="P4" s="23"/>
      <c r="Q4" s="23"/>
      <c r="R4" s="23"/>
      <c r="S4" s="23"/>
      <c r="T4" s="23"/>
      <c r="U4" s="23"/>
      <c r="V4" s="23">
        <v>0.5</v>
      </c>
    </row>
    <row r="5" spans="1:22" ht="15">
      <c r="A5" s="112"/>
      <c r="B5" s="108" t="s">
        <v>83</v>
      </c>
      <c r="C5" s="109"/>
      <c r="D5" s="110"/>
      <c r="E5" s="26"/>
      <c r="G5" s="23" t="s">
        <v>75</v>
      </c>
      <c r="H5" s="23"/>
      <c r="I5" s="23"/>
      <c r="J5" s="23"/>
      <c r="K5" s="23">
        <v>0.6</v>
      </c>
      <c r="L5" s="23" t="s">
        <v>79</v>
      </c>
      <c r="M5" s="23">
        <v>0.5</v>
      </c>
      <c r="N5" s="23" t="s">
        <v>85</v>
      </c>
      <c r="O5" s="23"/>
      <c r="P5" s="23"/>
      <c r="Q5" s="23"/>
      <c r="R5" s="23"/>
      <c r="S5" s="23"/>
      <c r="T5" s="23"/>
      <c r="U5" s="23"/>
      <c r="V5" s="23">
        <v>0.5</v>
      </c>
    </row>
    <row r="6" spans="1:22" ht="15">
      <c r="A6" s="21" t="s">
        <v>74</v>
      </c>
      <c r="B6" s="106" t="s">
        <v>79</v>
      </c>
      <c r="C6" s="106"/>
      <c r="D6" s="107"/>
      <c r="E6" s="26"/>
      <c r="G6" s="23" t="s">
        <v>69</v>
      </c>
      <c r="H6" s="23"/>
      <c r="I6" s="23"/>
      <c r="J6" s="23"/>
      <c r="K6" s="23">
        <v>0.65</v>
      </c>
      <c r="L6" s="23" t="s">
        <v>80</v>
      </c>
      <c r="M6" s="23">
        <v>0.4</v>
      </c>
      <c r="N6" s="23" t="s">
        <v>84</v>
      </c>
      <c r="O6" s="23"/>
      <c r="P6" s="23"/>
      <c r="Q6" s="23"/>
      <c r="R6" s="23"/>
      <c r="S6" s="23"/>
      <c r="T6" s="23"/>
      <c r="U6" s="23"/>
      <c r="V6" s="23">
        <v>0.3</v>
      </c>
    </row>
    <row r="7" spans="1:22" ht="15">
      <c r="A7" s="19" t="s">
        <v>0</v>
      </c>
      <c r="B7" s="13" t="s">
        <v>7</v>
      </c>
      <c r="C7" s="13" t="s">
        <v>4</v>
      </c>
      <c r="D7" s="1">
        <v>1000</v>
      </c>
      <c r="E7" s="10" t="str">
        <f>IF(E36&lt;&gt;" ","Należy zwiększyć wartość promienia"," ")</f>
        <v> </v>
      </c>
      <c r="G7" s="23" t="s">
        <v>76</v>
      </c>
      <c r="H7" s="23"/>
      <c r="I7" s="23"/>
      <c r="J7" s="23"/>
      <c r="K7" s="23">
        <v>0.65</v>
      </c>
      <c r="L7" s="23" t="s">
        <v>81</v>
      </c>
      <c r="M7" s="23">
        <v>0.3</v>
      </c>
      <c r="N7" s="23" t="s">
        <v>86</v>
      </c>
      <c r="O7" s="23"/>
      <c r="P7" s="23"/>
      <c r="Q7" s="23"/>
      <c r="R7" s="23"/>
      <c r="S7" s="23"/>
      <c r="T7" s="23"/>
      <c r="U7" s="23"/>
      <c r="V7" s="23">
        <v>1</v>
      </c>
    </row>
    <row r="8" spans="1:22" ht="26.25" customHeight="1">
      <c r="A8" s="19" t="s">
        <v>1</v>
      </c>
      <c r="B8" s="13" t="s">
        <v>8</v>
      </c>
      <c r="C8" s="13" t="s">
        <v>4</v>
      </c>
      <c r="D8" s="1">
        <v>60</v>
      </c>
      <c r="E8" s="28" t="str">
        <f>IF(E30="prędkość podnoszenia koła&gt;dopuszczalnej","Należy wydłużyć krzywą przejściową lub zmniejszyć przechyłkę",IF(E30="prędkość podnoszenia koła&gt;zasadniczej","Dopuszczalne w trudnych war. ter., w warunkach dogodnych - należy wydłużyć krzywą przejściową lub zmniejszyć przechyłkę",IF(E31&lt;&gt;" ","Należy wydłużyć krzywą przejściową lub zwiększyć przechyłkę"," ")))</f>
        <v>Dopuszczalne w trudnych war. ter., w warunkach dogodnych - należy wydłużyć krzywą przejściową lub zmniejszyć przechyłkę</v>
      </c>
      <c r="G8" s="23" t="s">
        <v>70</v>
      </c>
      <c r="H8" s="23"/>
      <c r="I8" s="23"/>
      <c r="J8" s="23"/>
      <c r="K8" s="23">
        <v>0.5</v>
      </c>
      <c r="L8" s="23" t="s">
        <v>82</v>
      </c>
      <c r="M8" s="23">
        <v>0.2</v>
      </c>
      <c r="N8" s="23"/>
      <c r="O8" s="23"/>
      <c r="P8" s="23"/>
      <c r="Q8" s="23"/>
      <c r="R8" s="23"/>
      <c r="S8" s="23"/>
      <c r="T8" s="23"/>
      <c r="U8" s="23"/>
      <c r="V8" s="23"/>
    </row>
    <row r="9" spans="1:22" ht="15">
      <c r="A9" s="19" t="s">
        <v>3</v>
      </c>
      <c r="B9" s="13" t="s">
        <v>10</v>
      </c>
      <c r="C9" s="13" t="s">
        <v>6</v>
      </c>
      <c r="D9" s="1">
        <v>65</v>
      </c>
      <c r="E9" s="10" t="str">
        <f>IF(AND(D8=0,D9&lt;&gt;0)=TRUE,"Należy zastosować krzywą przejściową lub przyjąć h = 0mm.",IF(AND(D9&lt;20,D9&gt;0)=TRUE,"Przechyłka mniejsza od minimalnych 20mm",IF(150&lt;D9,"Przechyłka większa od maksymalnych 150mm",IF(AND(E27&lt;&gt;" ",E28&lt;&gt;" ")=TRUE,"Brak dostępnego rozwiązania przechyłki",IF(E27&lt;&gt;" ","Należy zwiększyć wartość przechyłki",IF(E28&lt;&gt;" ","Należy zmniejszyć wartość przechyłki"," "))))))</f>
        <v> </v>
      </c>
      <c r="G9" s="23" t="s">
        <v>77</v>
      </c>
      <c r="H9" s="23"/>
      <c r="I9" s="23"/>
      <c r="J9" s="23"/>
      <c r="K9" s="23">
        <v>0.45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5">
      <c r="A10" s="19" t="s">
        <v>11</v>
      </c>
      <c r="B10" s="13" t="s">
        <v>12</v>
      </c>
      <c r="C10" s="13" t="s">
        <v>13</v>
      </c>
      <c r="D10" s="1">
        <v>100</v>
      </c>
      <c r="E10" s="26"/>
      <c r="G10" s="23" t="s">
        <v>71</v>
      </c>
      <c r="H10" s="23"/>
      <c r="I10" s="23"/>
      <c r="J10" s="23"/>
      <c r="K10" s="23">
        <v>0.45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5">
      <c r="A11" s="19" t="s">
        <v>22</v>
      </c>
      <c r="B11" s="13" t="s">
        <v>23</v>
      </c>
      <c r="C11" s="13" t="s">
        <v>13</v>
      </c>
      <c r="D11" s="1">
        <v>80</v>
      </c>
      <c r="E11" s="26"/>
      <c r="G11" s="23" t="s">
        <v>72</v>
      </c>
      <c r="H11" s="23"/>
      <c r="I11" s="23"/>
      <c r="J11" s="23"/>
      <c r="K11" s="23">
        <v>0.3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5">
      <c r="A12" s="32"/>
      <c r="B12" s="33"/>
      <c r="C12" s="33"/>
      <c r="D12" s="33"/>
      <c r="E12" s="3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5" ht="15">
      <c r="A13" s="19" t="s">
        <v>2</v>
      </c>
      <c r="B13" s="13" t="s">
        <v>9</v>
      </c>
      <c r="C13" s="13" t="s">
        <v>5</v>
      </c>
      <c r="D13" s="22">
        <f>IF(B4=G4,0.8,IF(B4=G5,K5,IF(B4=G6,K6,IF(B4=G7,K7,IF(B4=G8,K8,IF(B4=G9,K9,IF(B4=G10,K10,IF(B4=G11,K11,"Komórka B3!"))))))))</f>
        <v>0.8</v>
      </c>
      <c r="E13" s="6"/>
    </row>
    <row r="14" spans="1:5" ht="15">
      <c r="A14" s="19" t="s">
        <v>38</v>
      </c>
      <c r="B14" s="13" t="s">
        <v>39</v>
      </c>
      <c r="C14" s="13" t="s">
        <v>5</v>
      </c>
      <c r="D14" s="22">
        <f>IF(B6=L4,M4,IF(B6=L5,M5,IF(B6=L6,M6,IF(B6=L7,M7,IF(B6=L8,M8,"Komórka B5!")))))</f>
        <v>0.5</v>
      </c>
      <c r="E14" s="6"/>
    </row>
    <row r="15" spans="1:5" ht="15">
      <c r="A15" s="19" t="s">
        <v>32</v>
      </c>
      <c r="B15" s="13" t="s">
        <v>33</v>
      </c>
      <c r="C15" s="13" t="s">
        <v>34</v>
      </c>
      <c r="D15" s="22">
        <f>IF(B5=N4,V4,IF(B5=N5,V5,IF(B5=N6,V6,IF(B5=N7,V7,"Komórka B4!"))))</f>
        <v>0.5</v>
      </c>
      <c r="E15" s="6"/>
    </row>
    <row r="16" spans="1:5" ht="15">
      <c r="A16" s="19"/>
      <c r="B16" s="13"/>
      <c r="C16" s="13"/>
      <c r="D16" s="20"/>
      <c r="E16" s="6"/>
    </row>
    <row r="17" spans="1:5" ht="15">
      <c r="A17" s="19" t="s">
        <v>40</v>
      </c>
      <c r="B17" s="13" t="s">
        <v>41</v>
      </c>
      <c r="C17" s="13" t="s">
        <v>4</v>
      </c>
      <c r="D17" s="20">
        <v>20</v>
      </c>
      <c r="E17" s="6"/>
    </row>
    <row r="18" spans="1:5" ht="15">
      <c r="A18" s="19" t="s">
        <v>18</v>
      </c>
      <c r="B18" s="13" t="s">
        <v>19</v>
      </c>
      <c r="C18" s="13" t="s">
        <v>5</v>
      </c>
      <c r="D18" s="20">
        <v>9.81</v>
      </c>
      <c r="E18" s="6"/>
    </row>
    <row r="19" spans="1:5" ht="15">
      <c r="A19" s="19" t="s">
        <v>20</v>
      </c>
      <c r="B19" s="13" t="s">
        <v>21</v>
      </c>
      <c r="C19" s="13" t="s">
        <v>4</v>
      </c>
      <c r="D19" s="20">
        <v>1.5</v>
      </c>
      <c r="E19" s="6"/>
    </row>
    <row r="20" spans="1:5" ht="15">
      <c r="A20" s="19" t="s">
        <v>66</v>
      </c>
      <c r="B20" s="13" t="s">
        <v>24</v>
      </c>
      <c r="C20" s="13" t="s">
        <v>6</v>
      </c>
      <c r="D20" s="20">
        <v>20</v>
      </c>
      <c r="E20" s="6"/>
    </row>
    <row r="21" spans="1:5" ht="15">
      <c r="A21" s="16" t="s">
        <v>67</v>
      </c>
      <c r="B21" s="17" t="s">
        <v>26</v>
      </c>
      <c r="C21" s="17" t="s">
        <v>6</v>
      </c>
      <c r="D21" s="18">
        <v>150</v>
      </c>
      <c r="E21" s="27"/>
    </row>
    <row r="22" spans="1:5" ht="26.25">
      <c r="A22" s="24" t="s">
        <v>88</v>
      </c>
      <c r="B22" s="13" t="s">
        <v>89</v>
      </c>
      <c r="C22" s="13" t="s">
        <v>31</v>
      </c>
      <c r="D22" s="20">
        <v>28</v>
      </c>
      <c r="E22" s="6"/>
    </row>
    <row r="23" spans="1:5" ht="30" customHeight="1" thickBot="1">
      <c r="A23" s="25" t="s">
        <v>87</v>
      </c>
      <c r="B23" s="14" t="s">
        <v>90</v>
      </c>
      <c r="C23" s="14" t="s">
        <v>31</v>
      </c>
      <c r="D23" s="15">
        <v>35</v>
      </c>
      <c r="E23" s="12"/>
    </row>
    <row r="24" spans="1:5" ht="15.75" thickBot="1">
      <c r="A24" s="113" t="str">
        <f>IF(AND(E8="Dopuszczalne w trudnych war. ter., w warunkach dogodnych - należy wydłużyć krzywą przejściową lub zmniejszyć przechyłkę")=TRUE,"Poprawnie zaprojektowany układ torowy w trudnych warunkach terenowych",IF(OR(D13="Komórka B3!",D14="Komórka B5!",D15="Komórka B4!")=TRUE,"Niepoprawnie wprowadzone dane wejściowe",IF(OR(E7&lt;&gt;" ",E8&lt;&gt;" ",E9&lt;&gt;" ")=TRUE,"Niepoprawnie zaprojektowany układ torowy","Poprawnie zaprojektowany układ torowy")))</f>
        <v>Poprawnie zaprojektowany układ torowy w trudnych warunkach terenowych</v>
      </c>
      <c r="B24" s="114"/>
      <c r="C24" s="114"/>
      <c r="D24" s="114"/>
      <c r="E24" s="115"/>
    </row>
    <row r="25" spans="1:5" ht="15.75" thickBot="1">
      <c r="A25" s="114" t="str">
        <f>IF(A24="Poprawnie zaprojektowany układ torowy",IF(D7&lt;160,"Uwaga! Należy wykonać poszerzenie toru w łuku o 25mm (poprzez odsunięcie wewnętrznej szyny w stronę środka łuku).",IF(D7&lt;180,"Uwaga! Należy wykonać poszerzenie toru w łuku o 20mm (poprzez odsunięcie wewnętrznej szyny w stronę środka łuku).",IF(D7&lt;200,"Uwaga! Należy wykonać poszerzenie toru w łuku o 15mm (poprzez odsunięcie wewnętrznej szyny w stronę środka łuku).",IF(D7&lt;250,"Uwaga! Należy wykonać poszerzenie toru w łuku o 10mm (poprzez odsunięcie wewnętrznej szyny w stronę środka łuku)."," "))))," ")</f>
        <v> </v>
      </c>
      <c r="B25" s="114"/>
      <c r="C25" s="114"/>
      <c r="D25" s="114"/>
      <c r="E25" s="115"/>
    </row>
    <row r="26" spans="1:5" ht="15.75" thickBot="1">
      <c r="A26" s="101" t="s">
        <v>15</v>
      </c>
      <c r="B26" s="102"/>
      <c r="C26" s="102"/>
      <c r="D26" s="103"/>
      <c r="E26" s="4" t="s">
        <v>25</v>
      </c>
    </row>
    <row r="27" spans="1:5" ht="30">
      <c r="A27" s="83" t="s">
        <v>27</v>
      </c>
      <c r="B27" s="84" t="s">
        <v>24</v>
      </c>
      <c r="C27" s="84" t="s">
        <v>6</v>
      </c>
      <c r="D27" s="85">
        <f>IF(ISERROR(1000*(11.8*D10^2*0.001/D7-D19/D18*D13)=TRUE)," ",1000*(11.8*D10^2*0.001/D7-D19/D18*D13))</f>
        <v>-4.324159021406731</v>
      </c>
      <c r="E27" s="30" t="str">
        <f>IF(D27&gt;D21,"Brak dostępnego rozwiązania przechyłki",IF(ISERROR(1000*(11.8*D10^2*0.001/D7-D19/D18*D13)=TRUE)," ",IF(D27&gt;D28,"Przechyłka minimalna większa od maksymalnej",IF(D9&lt;D27,"Przyjęta przechyłka mniejsza od minimalnej"," "))))</f>
        <v> </v>
      </c>
    </row>
    <row r="28" spans="1:5" ht="30">
      <c r="A28" s="5" t="s">
        <v>64</v>
      </c>
      <c r="B28" s="13" t="s">
        <v>26</v>
      </c>
      <c r="C28" s="13" t="s">
        <v>6</v>
      </c>
      <c r="D28" s="41">
        <f>IF(ISERROR(1000*(11.8*D11^2*0.001/D7+D19/D18*D14)=TRUE)," ",1000*(11.8*D11^2*0.001/D7+D19/D18*D14))</f>
        <v>151.9725993883792</v>
      </c>
      <c r="E28" s="30" t="str">
        <f>IF(D27&gt;D28,"Przechyłka minimalna większa od maksymalnej",IF(D9&gt;D28,"Przyjęta przechyłka większa od maksymalnej"," "))</f>
        <v> </v>
      </c>
    </row>
    <row r="29" spans="1:5" ht="30">
      <c r="A29" s="5" t="s">
        <v>42</v>
      </c>
      <c r="B29" s="13" t="s">
        <v>43</v>
      </c>
      <c r="C29" s="13" t="s">
        <v>5</v>
      </c>
      <c r="D29" s="86">
        <f>(0.0118*D10^2/D7-D9/1000)*D18/D19</f>
        <v>0.34661999999999993</v>
      </c>
      <c r="E29" s="30" t="str">
        <f>IF(D29&gt;D13,"Wartość przyspieszenia bocznego większa od dopuszczalnej"," ")</f>
        <v> </v>
      </c>
    </row>
    <row r="30" spans="1:5" ht="30">
      <c r="A30" s="5" t="s">
        <v>29</v>
      </c>
      <c r="B30" s="13" t="s">
        <v>30</v>
      </c>
      <c r="C30" s="13" t="s">
        <v>31</v>
      </c>
      <c r="D30" s="40">
        <f>IF(D8=0," ",D10*D9/3.6/D8)</f>
        <v>30.09259259259259</v>
      </c>
      <c r="E30" s="30" t="str">
        <f>IF(D8=0,"brak krzywej przejściowej",IF(AND(D30&gt;D22,D30&lt;=D23),"prędkość podnoszenia koła&gt;zasadniczej",IF(D30&gt;D23,"prędkość podnoszenia koła&gt;dopuszczalnej"," ")))</f>
        <v>prędkość podnoszenia koła&gt;zasadniczej</v>
      </c>
    </row>
    <row r="31" spans="1:5" ht="30">
      <c r="A31" s="5" t="s">
        <v>35</v>
      </c>
      <c r="B31" s="13" t="s">
        <v>36</v>
      </c>
      <c r="C31" s="13" t="s">
        <v>34</v>
      </c>
      <c r="D31" s="86">
        <f>IF(D8&lt;&gt;0,D29*D10/3.6/D8,0.0214*D10^3/D17/D7)</f>
        <v>0.16047222222222218</v>
      </c>
      <c r="E31" s="30" t="str">
        <f>IF(D31&lt;D15," ","przyrost przyspieszenia bocznego większy od wartości dopuszczalnej")</f>
        <v> </v>
      </c>
    </row>
    <row r="32" spans="1:5" ht="15">
      <c r="A32" s="11" t="str">
        <f>IF(AND(D9=0,D8&lt;&gt;0),"Minimalna długość krzywej przejściowej"," ")</f>
        <v> </v>
      </c>
      <c r="B32" s="17" t="str">
        <f>IF(AND(D9=0,D8&lt;&gt;0),"lmin"," ")</f>
        <v> </v>
      </c>
      <c r="C32" s="17" t="str">
        <f>IF(AND(D9=0,D8&lt;&gt;0),"[m]"," ")</f>
        <v> </v>
      </c>
      <c r="D32" s="87" t="str">
        <f>IF(AND(D9=0,D8&lt;&gt;0),0.0214*(D10)^3/D15/D7," ")</f>
        <v> </v>
      </c>
      <c r="E32" s="31" t="str">
        <f>IF(AND(D9=0,D8&lt;&gt;0),IF(D8&lt;D32,"za krótka krzywa przejściowa"," ")," ")</f>
        <v> </v>
      </c>
    </row>
    <row r="33" spans="1:5" ht="26.25">
      <c r="A33" s="29" t="str">
        <f>IF(D9&lt;&gt;0,"Zasadnicza długość krzywej przejściowej"," ")</f>
        <v>Zasadnicza długość krzywej przejściowej</v>
      </c>
      <c r="B33" s="17" t="str">
        <f>IF(D9&lt;&gt;0,"lzas"," ")</f>
        <v>lzas</v>
      </c>
      <c r="C33" s="17" t="str">
        <f>IF(D9&lt;&gt;0,"[m]"," ")</f>
        <v>[m]</v>
      </c>
      <c r="D33" s="87">
        <f>IF(D9&lt;&gt;0,D10*D9/100," ")</f>
        <v>65</v>
      </c>
      <c r="E33" s="31"/>
    </row>
    <row r="34" spans="1:5" ht="26.25">
      <c r="A34" s="29" t="str">
        <f>IF(D9&lt;&gt;0,"Dopuszczalna długość krzywej przejściowej"," ")</f>
        <v>Dopuszczalna długość krzywej przejściowej</v>
      </c>
      <c r="B34" s="17" t="str">
        <f>IF(D9&lt;&gt;0,"ldop"," ")</f>
        <v>ldop</v>
      </c>
      <c r="C34" s="17" t="str">
        <f>IF(D9&lt;&gt;0,"[m]"," ")</f>
        <v>[m]</v>
      </c>
      <c r="D34" s="87">
        <f>IF(D9&lt;&gt;0,D9*D10/125," ")</f>
        <v>52</v>
      </c>
      <c r="E34" s="31"/>
    </row>
    <row r="35" spans="1:5" ht="26.25">
      <c r="A35" s="88" t="str">
        <f>IF(D9&lt;&gt;0,"Prędkość, przy której przechyłka h w pełni równoważy siłę odśrodkową"," ")</f>
        <v>Prędkość, przy której przechyłka h w pełni równoważy siłę odśrodkową</v>
      </c>
      <c r="B35" s="13" t="str">
        <f>IF(D9&lt;&gt;0,"v"," ")</f>
        <v>v</v>
      </c>
      <c r="C35" s="13" t="str">
        <f>IF(D9&lt;&gt;0,"[km/h]"," ")</f>
        <v>[km/h]</v>
      </c>
      <c r="D35" s="22">
        <f>IF(D9&lt;&gt;0,IF(ISERROR((SQRT(D7*D9/11.8)))=TRUE," ",(SQRT(D7*D9/11.8)))," ")</f>
        <v>74.21909846037734</v>
      </c>
      <c r="E35" s="30"/>
    </row>
    <row r="36" spans="1:5" ht="30">
      <c r="A36" s="35" t="s">
        <v>65</v>
      </c>
      <c r="B36" s="36" t="s">
        <v>92</v>
      </c>
      <c r="C36" s="36" t="s">
        <v>4</v>
      </c>
      <c r="D36" s="89">
        <f>IF(ISERROR((D10/3.6)^2/(D13+D18*D21/(1000*D19))=TRUE)," ",(D10/3.6)^2/(D13+D18*D21/(1000*D19)))</f>
        <v>433.2425256999466</v>
      </c>
      <c r="E36" s="37" t="str">
        <f>IF(ISERROR((D10/3.6)^2/(D13+D18*D21/(1000*D19))=TRUE)," ",IF(D7&lt;D36,"Przyjęty promień mniejszy od minimalnego"," "))</f>
        <v> </v>
      </c>
    </row>
    <row r="37" spans="1:5" ht="30.75" thickBot="1">
      <c r="A37" s="90" t="s">
        <v>91</v>
      </c>
      <c r="B37" s="14" t="s">
        <v>93</v>
      </c>
      <c r="C37" s="14" t="s">
        <v>4</v>
      </c>
      <c r="D37" s="91">
        <f>(D10^2-D11^2)/12.96/(D13+D14)</f>
        <v>213.67521367521366</v>
      </c>
      <c r="E37" s="92"/>
    </row>
  </sheetData>
  <sheetProtection formatCells="0" formatColumns="0" formatRows="0" insertColumns="0" insertRows="0" insertHyperlinks="0" deleteColumns="0" deleteRows="0" sort="0" autoFilter="0" pivotTables="0"/>
  <protectedRanges>
    <protectedRange sqref="D7:D11" name="Zakres1"/>
    <protectedRange sqref="B4:D6" name="Zakres2"/>
  </protectedRanges>
  <mergeCells count="9">
    <mergeCell ref="A3:D3"/>
    <mergeCell ref="A2:E2"/>
    <mergeCell ref="A26:D26"/>
    <mergeCell ref="B4:D4"/>
    <mergeCell ref="B6:D6"/>
    <mergeCell ref="B5:D5"/>
    <mergeCell ref="A4:A5"/>
    <mergeCell ref="A24:E24"/>
    <mergeCell ref="A25:E25"/>
  </mergeCells>
  <conditionalFormatting sqref="D32">
    <cfRule type="expression" priority="2" dxfId="1">
      <formula>$E$32&lt;&gt;" "</formula>
    </cfRule>
  </conditionalFormatting>
  <conditionalFormatting sqref="D36:D37">
    <cfRule type="expression" priority="9" dxfId="1">
      <formula>$E$36&lt;&gt;" "</formula>
    </cfRule>
  </conditionalFormatting>
  <conditionalFormatting sqref="D27">
    <cfRule type="expression" priority="8" dxfId="1">
      <formula>$E$27&lt;&gt;" "</formula>
    </cfRule>
  </conditionalFormatting>
  <conditionalFormatting sqref="D28">
    <cfRule type="expression" priority="7" dxfId="1">
      <formula>$E$28&lt;&gt;" "</formula>
    </cfRule>
  </conditionalFormatting>
  <conditionalFormatting sqref="D31">
    <cfRule type="expression" priority="1" dxfId="1">
      <formula>$E$31&lt;&gt;" "</formula>
    </cfRule>
  </conditionalFormatting>
  <conditionalFormatting sqref="D29">
    <cfRule type="expression" priority="17" dxfId="0" stopIfTrue="1">
      <formula>$E$29&lt;&gt;" "</formula>
    </cfRule>
  </conditionalFormatting>
  <conditionalFormatting sqref="E7">
    <cfRule type="expression" priority="18" dxfId="9" stopIfTrue="1">
      <formula>$E$7&lt;&gt;" "</formula>
    </cfRule>
  </conditionalFormatting>
  <conditionalFormatting sqref="E9">
    <cfRule type="expression" priority="19" dxfId="0" stopIfTrue="1">
      <formula>$E$9&lt;&gt;" "</formula>
    </cfRule>
  </conditionalFormatting>
  <conditionalFormatting sqref="A25:E25">
    <cfRule type="expression" priority="40" dxfId="2" stopIfTrue="1">
      <formula>AND($A$24="Poprawnie zaprojektowany układ torowy",$A$25&lt;&gt;" ")</formula>
    </cfRule>
  </conditionalFormatting>
  <conditionalFormatting sqref="D30">
    <cfRule type="expression" priority="10" dxfId="0" stopIfTrue="1">
      <formula>$E$30="prędkość podnoszenia koła&gt;dopuszczalnej"</formula>
    </cfRule>
    <cfRule type="expression" priority="11" dxfId="55" stopIfTrue="1">
      <formula>$E$30="prędkość podnoszenia koła&gt;zasadniczej"</formula>
    </cfRule>
  </conditionalFormatting>
  <conditionalFormatting sqref="A24:E24">
    <cfRule type="expression" priority="12" dxfId="2" stopIfTrue="1">
      <formula>$A$24="Poprawnie zaprojektowany układ torowy"</formula>
    </cfRule>
    <cfRule type="expression" priority="13" dxfId="0" stopIfTrue="1">
      <formula>$A$24="Niepoprawnie zaprojektowany układ torowy"</formula>
    </cfRule>
    <cfRule type="expression" priority="14" dxfId="55" stopIfTrue="1">
      <formula>$A$24="Poprawnie zaprojektowany układ torowy w trudnych warunkach terenowych"</formula>
    </cfRule>
  </conditionalFormatting>
  <conditionalFormatting sqref="E8">
    <cfRule type="expression" priority="15" dxfId="55" stopIfTrue="1">
      <formula>$E$8="Dopuszczalne w trudnych war. ter., w warunkach dogodnych - należy wydłużyć krzywą przejściową lub zmniejszyć przechyłkę"</formula>
    </cfRule>
    <cfRule type="expression" priority="16" dxfId="0" stopIfTrue="1">
      <formula>$E$8="Należy wydłużyć krzywą przejściową lub zmniejszyć przechyłkę"</formula>
    </cfRule>
    <cfRule type="expression" priority="17" dxfId="0" stopIfTrue="1">
      <formula>$E$8="Należy wydłużyć krzywą przejściową lub zwiększyć przechyłkę"</formula>
    </cfRule>
  </conditionalFormatting>
  <dataValidations count="8">
    <dataValidation type="list" allowBlank="1" showInputMessage="1" showErrorMessage="1" promptTitle="Obciążenie przewozami" prompt="Od wielkości obciążenia przewozami zależy dopuszczalna wartość niezrównoważonego przyspieszenia at." sqref="B6:D6">
      <formula1>$L$4:$L$8</formula1>
    </dataValidation>
    <dataValidation type="list" allowBlank="1" showInputMessage="1" showErrorMessage="1" promptTitle="Projektowany układ torowy" prompt="Od rodzaju projektowanego układu torowego zależy dopuszczalna wartość przyrostu niezrównoważonego przyspieszenia odśrodkowego ψdop." sqref="B5:D5">
      <formula1>$N$4:$N$7</formula1>
    </dataValidation>
    <dataValidation type="custom" allowBlank="1" showInputMessage="1" showErrorMessage="1" promptTitle="Prędkość maksymalna" prompt=" " errorTitle="Nieprawidłowa wartość" error="Proszę podać wartość dodatnią." sqref="D10">
      <formula1>D10&gt;0</formula1>
    </dataValidation>
    <dataValidation type="custom" allowBlank="1" showInputMessage="1" showErrorMessage="1" promptTitle="Długość krzywej przejściowej" prompt="Należy podać wartość nieujemną." errorTitle="Nieprawidłowa wartość" error="Proszę podać wartość nieujemną." sqref="D8">
      <formula1>D8&gt;=0</formula1>
    </dataValidation>
    <dataValidation type="list" allowBlank="1" showInputMessage="1" showErrorMessage="1" promptTitle="Projektowany układ torowy" prompt="Od rodzaju projektowanego układu torowego zależy dopuszczalna wartość niezrównoważonego przyspieszenia odśrodkowego adop." sqref="B4:D4">
      <formula1>$G$4:$G$11</formula1>
    </dataValidation>
    <dataValidation type="custom" allowBlank="1" showInputMessage="1" showErrorMessage="1" promptTitle="Promień łuku" prompt="Należy podać wartość dodatnią." errorTitle="Nieprawidłowa wartość" error="Proszę podać wartość dodatnią." sqref="D7">
      <formula1>D7&gt;0</formula1>
    </dataValidation>
    <dataValidation allowBlank="1" showInputMessage="1" showErrorMessage="1" promptTitle="Wielkość przechyłki" prompt=" " sqref="D9"/>
    <dataValidation allowBlank="1" showInputMessage="1" showErrorMessage="1" promptTitle="Prędkość pociągów towarowych" prompt=" " sqref="D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7109375" style="3" bestFit="1" customWidth="1"/>
    <col min="2" max="2" width="21.00390625" style="3" customWidth="1"/>
    <col min="3" max="3" width="14.421875" style="3" customWidth="1"/>
    <col min="4" max="4" width="16.421875" style="3" customWidth="1"/>
    <col min="5" max="5" width="55.28125" style="3" customWidth="1"/>
    <col min="6" max="9" width="9.140625" style="3" customWidth="1"/>
    <col min="10" max="10" width="11.28125" style="3" customWidth="1"/>
    <col min="11" max="16384" width="9.140625" style="3" customWidth="1"/>
  </cols>
  <sheetData>
    <row r="1" spans="1:5" ht="15.75" thickBot="1">
      <c r="A1" s="3" t="s">
        <v>146</v>
      </c>
      <c r="E1" s="47" t="s">
        <v>134</v>
      </c>
    </row>
    <row r="2" spans="1:5" ht="69" customHeight="1" thickBot="1">
      <c r="A2" s="98" t="s">
        <v>148</v>
      </c>
      <c r="B2" s="99"/>
      <c r="C2" s="99"/>
      <c r="D2" s="99"/>
      <c r="E2" s="100"/>
    </row>
    <row r="3" spans="1:5" ht="15">
      <c r="A3" s="95" t="s">
        <v>14</v>
      </c>
      <c r="B3" s="96"/>
      <c r="C3" s="96"/>
      <c r="D3" s="97"/>
      <c r="E3" s="4" t="s">
        <v>25</v>
      </c>
    </row>
    <row r="4" spans="1:22" ht="15">
      <c r="A4" s="111" t="s">
        <v>73</v>
      </c>
      <c r="B4" s="104" t="s">
        <v>68</v>
      </c>
      <c r="C4" s="104"/>
      <c r="D4" s="105"/>
      <c r="E4" s="26"/>
      <c r="G4" s="23" t="s">
        <v>68</v>
      </c>
      <c r="H4" s="23"/>
      <c r="I4" s="23"/>
      <c r="J4" s="23"/>
      <c r="K4" s="23">
        <v>0.8</v>
      </c>
      <c r="L4" s="23" t="s">
        <v>78</v>
      </c>
      <c r="M4" s="23">
        <v>0.6</v>
      </c>
      <c r="N4" s="23" t="s">
        <v>83</v>
      </c>
      <c r="O4" s="23"/>
      <c r="P4" s="23"/>
      <c r="Q4" s="23"/>
      <c r="R4" s="23"/>
      <c r="S4" s="23"/>
      <c r="T4" s="23"/>
      <c r="U4" s="23"/>
      <c r="V4" s="23">
        <v>0.5</v>
      </c>
    </row>
    <row r="5" spans="1:22" ht="15">
      <c r="A5" s="112"/>
      <c r="B5" s="108" t="s">
        <v>83</v>
      </c>
      <c r="C5" s="109"/>
      <c r="D5" s="110"/>
      <c r="E5" s="26"/>
      <c r="G5" s="23" t="s">
        <v>75</v>
      </c>
      <c r="H5" s="23"/>
      <c r="I5" s="23"/>
      <c r="J5" s="23"/>
      <c r="K5" s="23">
        <v>0.6</v>
      </c>
      <c r="L5" s="23" t="s">
        <v>79</v>
      </c>
      <c r="M5" s="23">
        <v>0.5</v>
      </c>
      <c r="N5" s="23" t="s">
        <v>85</v>
      </c>
      <c r="O5" s="23"/>
      <c r="P5" s="23"/>
      <c r="Q5" s="23"/>
      <c r="R5" s="23"/>
      <c r="S5" s="23"/>
      <c r="T5" s="23"/>
      <c r="U5" s="23"/>
      <c r="V5" s="23">
        <v>0.5</v>
      </c>
    </row>
    <row r="6" spans="1:22" ht="15">
      <c r="A6" s="21" t="s">
        <v>74</v>
      </c>
      <c r="B6" s="106" t="s">
        <v>80</v>
      </c>
      <c r="C6" s="106"/>
      <c r="D6" s="107"/>
      <c r="E6" s="26"/>
      <c r="G6" s="23" t="s">
        <v>69</v>
      </c>
      <c r="H6" s="23"/>
      <c r="I6" s="23"/>
      <c r="J6" s="23"/>
      <c r="K6" s="23">
        <v>0.65</v>
      </c>
      <c r="L6" s="23" t="s">
        <v>80</v>
      </c>
      <c r="M6" s="23">
        <v>0.4</v>
      </c>
      <c r="N6" s="23" t="s">
        <v>84</v>
      </c>
      <c r="O6" s="23"/>
      <c r="P6" s="23"/>
      <c r="Q6" s="23"/>
      <c r="R6" s="23"/>
      <c r="S6" s="23"/>
      <c r="T6" s="23"/>
      <c r="U6" s="23"/>
      <c r="V6" s="23">
        <v>0.3</v>
      </c>
    </row>
    <row r="7" spans="1:22" ht="15">
      <c r="A7" s="19" t="s">
        <v>94</v>
      </c>
      <c r="B7" s="13" t="s">
        <v>50</v>
      </c>
      <c r="C7" s="13" t="s">
        <v>4</v>
      </c>
      <c r="D7" s="1">
        <v>700</v>
      </c>
      <c r="E7" s="10" t="s">
        <v>152</v>
      </c>
      <c r="G7" s="23" t="s">
        <v>76</v>
      </c>
      <c r="H7" s="23"/>
      <c r="I7" s="23"/>
      <c r="J7" s="23"/>
      <c r="K7" s="23">
        <v>0.65</v>
      </c>
      <c r="L7" s="23" t="s">
        <v>81</v>
      </c>
      <c r="M7" s="23">
        <v>0.3</v>
      </c>
      <c r="N7" s="23" t="s">
        <v>86</v>
      </c>
      <c r="O7" s="23"/>
      <c r="P7" s="23"/>
      <c r="Q7" s="23"/>
      <c r="R7" s="23"/>
      <c r="S7" s="23"/>
      <c r="T7" s="23"/>
      <c r="U7" s="23"/>
      <c r="V7" s="23">
        <v>1</v>
      </c>
    </row>
    <row r="8" spans="1:22" ht="15">
      <c r="A8" s="19" t="s">
        <v>44</v>
      </c>
      <c r="B8" s="13" t="s">
        <v>49</v>
      </c>
      <c r="C8" s="13" t="s">
        <v>4</v>
      </c>
      <c r="D8" s="1">
        <v>600</v>
      </c>
      <c r="E8" s="10" t="s">
        <v>152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26.25" customHeight="1">
      <c r="A9" s="5" t="s">
        <v>95</v>
      </c>
      <c r="B9" s="13" t="s">
        <v>8</v>
      </c>
      <c r="C9" s="13" t="s">
        <v>4</v>
      </c>
      <c r="D9" s="1">
        <v>30</v>
      </c>
      <c r="E9" s="28" t="str">
        <f>IF(E38="prędkość podnoszenia koła&gt;dopuszczalnej","Należy wydłużyć krzywą przejściową lub zmniejszyć różnicę przechyłek",IF(AND(E38="prędkość podnoszenia koła&gt;zasadniczej",E39=" ")=TRUE,"Dopuszczalne w trudnych war. ter., w warunkach dogodnych - należy wydłużyć krzywą przejściową lub zmniejszyć różnicę przechyłek",IF(E39&lt;&gt;" ","Należy wydłużyć krzywą przejściową lub zmienić wielkości przechyłek"," ")))</f>
        <v> </v>
      </c>
      <c r="G9" s="23" t="s">
        <v>70</v>
      </c>
      <c r="H9" s="23"/>
      <c r="I9" s="23"/>
      <c r="J9" s="23"/>
      <c r="K9" s="23">
        <v>0.5</v>
      </c>
      <c r="L9" s="23" t="s">
        <v>82</v>
      </c>
      <c r="M9" s="23">
        <v>0.2</v>
      </c>
      <c r="N9" s="23"/>
      <c r="O9" s="23"/>
      <c r="P9" s="23"/>
      <c r="Q9" s="23"/>
      <c r="R9" s="23"/>
      <c r="S9" s="23"/>
      <c r="T9" s="23"/>
      <c r="U9" s="23"/>
      <c r="V9" s="23"/>
    </row>
    <row r="10" spans="1:22" ht="15">
      <c r="A10" s="19" t="s">
        <v>96</v>
      </c>
      <c r="B10" s="13" t="s">
        <v>97</v>
      </c>
      <c r="C10" s="13" t="s">
        <v>6</v>
      </c>
      <c r="D10" s="1">
        <v>100</v>
      </c>
      <c r="E10" s="10" t="str">
        <f>IF(AND(D10&lt;20,D10&gt;0)=TRUE,"Przechyłka mniejsza od minimalnych 20mm",IF(150&lt;D10,"Przechyłka większa od maksymalnych 150mm",IF(AND(E30&lt;&gt;" ",E31&lt;&gt;" ")=TRUE,"Brak dostępnego rozwiązania przechyłki",IF(E30&lt;&gt;" ","Należy zwiększyć wartość przechyłki",IF(E31&lt;&gt;" ","Należy zmniejszyć wartość przechyłki"," ")))))</f>
        <v> </v>
      </c>
      <c r="G10" s="23" t="s">
        <v>77</v>
      </c>
      <c r="H10" s="23"/>
      <c r="I10" s="23"/>
      <c r="J10" s="23"/>
      <c r="K10" s="23">
        <v>0.45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5">
      <c r="A11" s="19" t="s">
        <v>98</v>
      </c>
      <c r="B11" s="13" t="s">
        <v>99</v>
      </c>
      <c r="C11" s="13" t="s">
        <v>6</v>
      </c>
      <c r="D11" s="1">
        <v>110</v>
      </c>
      <c r="E11" s="10" t="str">
        <f>IF(AND(D11&lt;20,D11&gt;0)=TRUE,"Przechyłka mniejsza od minimalnych 20mm",IF(150&lt;D11,"Przechyłka większa od maksymalnych 150mm",IF(AND(E34&lt;&gt;" ",E35&lt;&gt;" ")=TRUE,"Brak dostępnego rozwiązania przechyłki",IF(E34&lt;&gt;" ","Należy zwiększyć wartość przechyłki",IF(E35&lt;&gt;" ","Należy zmniejszyć wartość przechyłki"," ")))))</f>
        <v> 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5">
      <c r="A12" s="19" t="s">
        <v>11</v>
      </c>
      <c r="B12" s="13" t="s">
        <v>12</v>
      </c>
      <c r="C12" s="13" t="s">
        <v>13</v>
      </c>
      <c r="D12" s="1">
        <v>100</v>
      </c>
      <c r="E12" s="26"/>
      <c r="G12" s="23" t="s">
        <v>71</v>
      </c>
      <c r="H12" s="23"/>
      <c r="I12" s="23"/>
      <c r="J12" s="23"/>
      <c r="K12" s="23">
        <v>0.45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5">
      <c r="A13" s="19" t="s">
        <v>22</v>
      </c>
      <c r="B13" s="13" t="s">
        <v>23</v>
      </c>
      <c r="C13" s="13" t="s">
        <v>13</v>
      </c>
      <c r="D13" s="1">
        <v>80</v>
      </c>
      <c r="E13" s="26"/>
      <c r="G13" s="23" t="s">
        <v>72</v>
      </c>
      <c r="H13" s="23"/>
      <c r="I13" s="23"/>
      <c r="J13" s="23"/>
      <c r="K13" s="23">
        <v>0.3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5">
      <c r="A14" s="32"/>
      <c r="B14" s="33"/>
      <c r="C14" s="33"/>
      <c r="D14" s="33"/>
      <c r="E14" s="3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5" ht="15">
      <c r="A15" s="19" t="s">
        <v>2</v>
      </c>
      <c r="B15" s="13" t="s">
        <v>9</v>
      </c>
      <c r="C15" s="13" t="s">
        <v>5</v>
      </c>
      <c r="D15" s="22">
        <f>IF(B4=G4,0.8,IF(B4=G5,K5,IF(B4=G6,K6,IF(B4=G7,K7,IF(B4=G9,K9,IF(B4=G10,K10,IF(B4=G12,K12,IF(B4=G13,K13,"Komórka B3!"))))))))</f>
        <v>0.8</v>
      </c>
      <c r="E15" s="6"/>
    </row>
    <row r="16" spans="1:5" ht="15">
      <c r="A16" s="19" t="s">
        <v>38</v>
      </c>
      <c r="B16" s="13" t="s">
        <v>39</v>
      </c>
      <c r="C16" s="13" t="s">
        <v>5</v>
      </c>
      <c r="D16" s="22">
        <f>IF(B6=L4,M4,IF(B6=L5,M5,IF(B6=L6,M6,IF(B6=L7,M7,IF(B6=L9,M9,"Komórka B5!")))))</f>
        <v>0.4</v>
      </c>
      <c r="E16" s="6"/>
    </row>
    <row r="17" spans="1:5" ht="15">
      <c r="A17" s="19" t="s">
        <v>32</v>
      </c>
      <c r="B17" s="13" t="s">
        <v>33</v>
      </c>
      <c r="C17" s="13" t="s">
        <v>34</v>
      </c>
      <c r="D17" s="22">
        <f>IF(B5=N4,V4,IF(B5=N5,V5,IF(B5=N6,V6,IF(B5=N7,V7,"Komórka B4!"))))</f>
        <v>0.5</v>
      </c>
      <c r="E17" s="6"/>
    </row>
    <row r="18" spans="1:5" ht="15">
      <c r="A18" s="19"/>
      <c r="B18" s="13"/>
      <c r="C18" s="13"/>
      <c r="D18" s="20"/>
      <c r="E18" s="6"/>
    </row>
    <row r="19" spans="1:5" ht="15">
      <c r="A19" s="19" t="s">
        <v>40</v>
      </c>
      <c r="B19" s="13" t="s">
        <v>41</v>
      </c>
      <c r="C19" s="13" t="s">
        <v>4</v>
      </c>
      <c r="D19" s="20">
        <v>20</v>
      </c>
      <c r="E19" s="6"/>
    </row>
    <row r="20" spans="1:5" ht="15">
      <c r="A20" s="19" t="s">
        <v>18</v>
      </c>
      <c r="B20" s="13" t="s">
        <v>19</v>
      </c>
      <c r="C20" s="13" t="s">
        <v>5</v>
      </c>
      <c r="D20" s="20">
        <v>9.81</v>
      </c>
      <c r="E20" s="6"/>
    </row>
    <row r="21" spans="1:5" ht="15">
      <c r="A21" s="19" t="s">
        <v>20</v>
      </c>
      <c r="B21" s="13" t="s">
        <v>21</v>
      </c>
      <c r="C21" s="13" t="s">
        <v>4</v>
      </c>
      <c r="D21" s="20">
        <v>1.5</v>
      </c>
      <c r="E21" s="6"/>
    </row>
    <row r="22" spans="1:5" ht="15">
      <c r="A22" s="19" t="s">
        <v>66</v>
      </c>
      <c r="B22" s="13" t="s">
        <v>24</v>
      </c>
      <c r="C22" s="13" t="s">
        <v>6</v>
      </c>
      <c r="D22" s="20">
        <v>20</v>
      </c>
      <c r="E22" s="6"/>
    </row>
    <row r="23" spans="1:5" ht="15">
      <c r="A23" s="16" t="s">
        <v>67</v>
      </c>
      <c r="B23" s="17" t="s">
        <v>26</v>
      </c>
      <c r="C23" s="17" t="s">
        <v>6</v>
      </c>
      <c r="D23" s="18">
        <v>150</v>
      </c>
      <c r="E23" s="27"/>
    </row>
    <row r="24" spans="1:5" ht="26.25">
      <c r="A24" s="24" t="s">
        <v>88</v>
      </c>
      <c r="B24" s="13" t="s">
        <v>89</v>
      </c>
      <c r="C24" s="13" t="s">
        <v>31</v>
      </c>
      <c r="D24" s="20">
        <v>28</v>
      </c>
      <c r="E24" s="6"/>
    </row>
    <row r="25" spans="1:5" ht="30" customHeight="1" thickBot="1">
      <c r="A25" s="25" t="s">
        <v>87</v>
      </c>
      <c r="B25" s="14" t="s">
        <v>90</v>
      </c>
      <c r="C25" s="14" t="s">
        <v>31</v>
      </c>
      <c r="D25" s="15">
        <v>35</v>
      </c>
      <c r="E25" s="12"/>
    </row>
    <row r="26" spans="1:5" ht="15.75" thickBot="1">
      <c r="A26" s="113" t="str">
        <f>IF(E9="Dopuszczalne w trudnych war. ter., w warunkach dogodnych - należy wydłużyć krzywą przejściową lub zmniejszyć różnicę przechyłek","Poprawnie zaprojektowany układ torowy w trudnych warunkach terenowych",IF(OR(D15="Komórka B3!",D16="Komórka B5!",D17="Komórka B4!")=TRUE,"Niepoprawnie wprowadzone dane wejściowe",IF(OR(E7&lt;&gt;" ",E9&lt;&gt;" ",E10&lt;&gt;" ")=TRUE,"Niepoprawnie zaprojektowany układ torowy","Poprawnie zaprojektowany układ torowy")))</f>
        <v>Poprawnie zaprojektowany układ torowy</v>
      </c>
      <c r="B26" s="114"/>
      <c r="C26" s="114"/>
      <c r="D26" s="114"/>
      <c r="E26" s="115"/>
    </row>
    <row r="27" spans="1:5" ht="15.75" thickBot="1">
      <c r="A27" s="114" t="str">
        <f>IF(A26="Poprawnie zaprojektowany układ torowy",IF(D7&lt;160,"Uwaga! Należy wykonać poszerzenie toru w łuku o 25mm (poprzez odsunięcie wewnętrznej szyny w stronę środka łuku).",IF(D7&lt;180,"Uwaga! Należy wykonać poszerzenie toru w łuku o 20mm (poprzez odsunięcie wewnętrznej szyny w stronę środka łuku).",IF(D7&lt;200,"Uwaga! Należy wykonać poszerzenie toru w łuku o 15mm (poprzez odsunięcie wewnętrznej szyny w stronę środka łuku).",IF(D7&lt;250,"Uwaga! Należy wykonać poszerzenie toru w łuku o 10mm (poprzez odsunięcie wewnętrznej szyny w stronę środka łuku)."," "))))," ")</f>
        <v> </v>
      </c>
      <c r="B27" s="114"/>
      <c r="C27" s="114"/>
      <c r="D27" s="114"/>
      <c r="E27" s="115"/>
    </row>
    <row r="28" spans="1:5" ht="15">
      <c r="A28" s="119" t="s">
        <v>15</v>
      </c>
      <c r="B28" s="120"/>
      <c r="C28" s="120"/>
      <c r="D28" s="121"/>
      <c r="E28" s="4" t="s">
        <v>25</v>
      </c>
    </row>
    <row r="29" spans="1:5" ht="15">
      <c r="A29" s="116" t="s">
        <v>100</v>
      </c>
      <c r="B29" s="117"/>
      <c r="C29" s="117"/>
      <c r="D29" s="117"/>
      <c r="E29" s="118"/>
    </row>
    <row r="30" spans="1:5" ht="30">
      <c r="A30" s="5" t="s">
        <v>27</v>
      </c>
      <c r="B30" s="13" t="s">
        <v>24</v>
      </c>
      <c r="C30" s="13" t="s">
        <v>6</v>
      </c>
      <c r="D30" s="7">
        <f>IF(ISERROR(1000*(11.8*D12^2*0.001/D7-D21/D20*D15)=TRUE)," ",1000*(11.8*D12^2*0.001/D7-D21/D20*D15))</f>
        <v>46.24726955002184</v>
      </c>
      <c r="E30" s="30" t="str">
        <f>IF(D30&gt;D23,"Brak dostępnego rozwiązania przechyłki",IF(ISERROR(1000*(11.8*D12^2*0.001/D7-D21/D20*D15)=TRUE)," ",IF(D30&gt;D31,"Przechyłka minimalna większa od maksymalnej",IF(D10&lt;D30,"Przyjęta przechyłka mniejsza od minimalnej"," "))))</f>
        <v> </v>
      </c>
    </row>
    <row r="31" spans="1:5" ht="30">
      <c r="A31" s="5" t="s">
        <v>64</v>
      </c>
      <c r="B31" s="13" t="s">
        <v>26</v>
      </c>
      <c r="C31" s="13" t="s">
        <v>6</v>
      </c>
      <c r="D31" s="7">
        <f>IF(ISERROR(1000*(11.8*D13^2*0.001/D7+D21/D20*D16)=TRUE)," ",1000*(11.8*D13^2*0.001/D7+D21/D20*D16))</f>
        <v>169.04779379641766</v>
      </c>
      <c r="E31" s="30" t="str">
        <f>IF(D30&gt;D31,"Przechyłka minimalna większa od maksymalnej",IF(D10&gt;D31,"Przyjęta przechyłka większa od maksymalnej"," "))</f>
        <v> </v>
      </c>
    </row>
    <row r="32" spans="1:5" ht="30">
      <c r="A32" s="5" t="s">
        <v>42</v>
      </c>
      <c r="B32" s="13" t="s">
        <v>43</v>
      </c>
      <c r="C32" s="13" t="s">
        <v>5</v>
      </c>
      <c r="D32" s="8">
        <f>(0.0118*D12^2/D7-D10/1000)*D20/D21</f>
        <v>0.44845714285714283</v>
      </c>
      <c r="E32" s="30" t="str">
        <f>IF(D32&gt;D15,"Wartość przyspieszenia bocznego większa od dopuszczalnej"," ")</f>
        <v> </v>
      </c>
    </row>
    <row r="33" spans="1:5" ht="15">
      <c r="A33" s="116" t="s">
        <v>101</v>
      </c>
      <c r="B33" s="117"/>
      <c r="C33" s="117"/>
      <c r="D33" s="117"/>
      <c r="E33" s="118"/>
    </row>
    <row r="34" spans="1:5" ht="30">
      <c r="A34" s="5" t="s">
        <v>27</v>
      </c>
      <c r="B34" s="13" t="s">
        <v>24</v>
      </c>
      <c r="C34" s="13" t="s">
        <v>6</v>
      </c>
      <c r="D34" s="7">
        <f>IF(ISERROR(1000*(11.8*D12^2*0.001/D8-D21/D20*D15)=TRUE)," ",1000*(11.8*D12^2*0.001/D8-D21/D20*D15))</f>
        <v>74.34250764525993</v>
      </c>
      <c r="E34" s="30" t="str">
        <f>IF(D34&gt;D23,"Brak dostępnego rozwiązania przechyłki",IF(ISERROR(1000*(11.8*D12^2*0.001/D8-D21/D20*D15)=TRUE)," ",IF(D34&gt;D35,"Przechyłka minimalna większa od maksymalnej",IF(D11&lt;D34,"Przyjęta przechyłka mniejsza od minimalnej"," "))))</f>
        <v> </v>
      </c>
    </row>
    <row r="35" spans="1:5" ht="30">
      <c r="A35" s="5" t="s">
        <v>64</v>
      </c>
      <c r="B35" s="13" t="s">
        <v>26</v>
      </c>
      <c r="C35" s="13" t="s">
        <v>6</v>
      </c>
      <c r="D35" s="7">
        <f>IF(ISERROR(1000*(11.8*D13^2*0.001/D8+D21/D20*D16)=TRUE)," ",1000*(11.8*D13^2*0.001/D8+D21/D20*D16))</f>
        <v>187.02874617737004</v>
      </c>
      <c r="E35" s="30" t="str">
        <f>IF(D34&gt;D35,"Przechyłka minimalna większa od maksymalnej",IF(D11&gt;D35,"Przyjęta przechyłka większa od maksymalnej"," "))</f>
        <v> </v>
      </c>
    </row>
    <row r="36" spans="1:5" ht="30">
      <c r="A36" s="5" t="s">
        <v>42</v>
      </c>
      <c r="B36" s="13" t="s">
        <v>43</v>
      </c>
      <c r="C36" s="13" t="s">
        <v>5</v>
      </c>
      <c r="D36" s="8">
        <f>(0.0118*D12^2/D8-D11/1000)*D20/D21</f>
        <v>0.5668</v>
      </c>
      <c r="E36" s="30" t="str">
        <f>IF(D36&gt;D15,"Wartość przyspieszenia bocznego większa od dopuszczalnej"," ")</f>
        <v> </v>
      </c>
    </row>
    <row r="37" spans="1:5" ht="15">
      <c r="A37" s="116" t="s">
        <v>102</v>
      </c>
      <c r="B37" s="117"/>
      <c r="C37" s="117"/>
      <c r="D37" s="117"/>
      <c r="E37" s="118"/>
    </row>
    <row r="38" spans="1:5" ht="30">
      <c r="A38" s="5" t="s">
        <v>29</v>
      </c>
      <c r="B38" s="13" t="s">
        <v>30</v>
      </c>
      <c r="C38" s="13" t="s">
        <v>31</v>
      </c>
      <c r="D38" s="9">
        <f>IF(D9=0," ",D12*ABS(D10-D11)/3.6/D9)</f>
        <v>9.25925925925926</v>
      </c>
      <c r="E38" s="30" t="str">
        <f>IF(D9=0,"brak krzywej przejściowej",IF(AND(D38&gt;D24,D38&lt;=D25),"prędkość podnoszenia koła&gt;zasadniczej",IF(D38&gt;D25,"prędkość podnoszenia koła&gt;dopuszczalnej"," ")))</f>
        <v> </v>
      </c>
    </row>
    <row r="39" spans="1:5" ht="30">
      <c r="A39" s="5" t="s">
        <v>35</v>
      </c>
      <c r="B39" s="13" t="s">
        <v>36</v>
      </c>
      <c r="C39" s="13" t="s">
        <v>34</v>
      </c>
      <c r="D39" s="8">
        <f>IF(D9&lt;&gt;0,ABS(D32-D36)*D12/3.6/D9," ")</f>
        <v>0.10957671957671958</v>
      </c>
      <c r="E39" s="30" t="str">
        <f>IF(D9=0,"brak krzywej przejściowej",IF(D39&lt;D17," ","przyrost przyspieszenia bocznego większy od wartości dopuszczalnej"))</f>
        <v> 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4:D6" name="Zakres1"/>
    <protectedRange sqref="D7:D13" name="Zakres2"/>
  </protectedRanges>
  <mergeCells count="12">
    <mergeCell ref="B6:D6"/>
    <mergeCell ref="A2:E2"/>
    <mergeCell ref="A3:D3"/>
    <mergeCell ref="A4:A5"/>
    <mergeCell ref="B4:D4"/>
    <mergeCell ref="B5:D5"/>
    <mergeCell ref="A29:E29"/>
    <mergeCell ref="A33:E33"/>
    <mergeCell ref="A37:E37"/>
    <mergeCell ref="A26:E26"/>
    <mergeCell ref="A27:E27"/>
    <mergeCell ref="A28:D28"/>
  </mergeCells>
  <conditionalFormatting sqref="D30 D34">
    <cfRule type="expression" priority="17" dxfId="1">
      <formula>$E$30&lt;&gt;" "</formula>
    </cfRule>
  </conditionalFormatting>
  <conditionalFormatting sqref="D31 D35">
    <cfRule type="expression" priority="16" dxfId="1">
      <formula>$E$31&lt;&gt;" "</formula>
    </cfRule>
  </conditionalFormatting>
  <conditionalFormatting sqref="D32 D36">
    <cfRule type="expression" priority="12" dxfId="0" stopIfTrue="1">
      <formula>$E$32&lt;&gt;" "</formula>
    </cfRule>
  </conditionalFormatting>
  <conditionalFormatting sqref="E7:E8">
    <cfRule type="expression" priority="11" dxfId="9" stopIfTrue="1">
      <formula>$E$7&lt;&gt;" "</formula>
    </cfRule>
  </conditionalFormatting>
  <conditionalFormatting sqref="E10">
    <cfRule type="expression" priority="10" dxfId="0" stopIfTrue="1">
      <formula>$E$10&lt;&gt;" "</formula>
    </cfRule>
  </conditionalFormatting>
  <conditionalFormatting sqref="A27:E27">
    <cfRule type="expression" priority="4" dxfId="2" stopIfTrue="1">
      <formula>AND($A$26="Poprawnie zaprojektowany układ torowy",$A$27&lt;&gt;" ")</formula>
    </cfRule>
  </conditionalFormatting>
  <conditionalFormatting sqref="E11">
    <cfRule type="expression" priority="26" dxfId="0" stopIfTrue="1">
      <formula>$E$11&lt;&gt;" "</formula>
    </cfRule>
  </conditionalFormatting>
  <conditionalFormatting sqref="E9">
    <cfRule type="expression" priority="27" dxfId="7" stopIfTrue="1">
      <formula>$E$9="Dopuszczalne w trudnych war. ter., w warunkach dogodnych - należy wydłużyć krzywą przejściową lub zmniejszyć różnicę przechyłek"</formula>
    </cfRule>
    <cfRule type="expression" priority="28" dxfId="0" stopIfTrue="1">
      <formula>$E$9="Należy wydłużyć krzywą przejściową lub zmniejszyć różnicę przechyłek"</formula>
    </cfRule>
    <cfRule type="expression" priority="29" dxfId="0" stopIfTrue="1">
      <formula>$E$9="Należy wydłużyć krzywą przejściową lub zmienić wielkości przechyłek"</formula>
    </cfRule>
  </conditionalFormatting>
  <conditionalFormatting sqref="D39">
    <cfRule type="expression" priority="33" dxfId="0" stopIfTrue="1">
      <formula>$E$39="przyrost przyspieszenia bocznego większy od wartości dopuszczalnej"</formula>
    </cfRule>
    <cfRule type="expression" priority="34" dxfId="21" stopIfTrue="1">
      <formula>$E$39=" "</formula>
    </cfRule>
  </conditionalFormatting>
  <conditionalFormatting sqref="E34">
    <cfRule type="expression" priority="35" dxfId="0" stopIfTrue="1">
      <formula>$D$34&lt;&gt;" "</formula>
    </cfRule>
  </conditionalFormatting>
  <conditionalFormatting sqref="E35">
    <cfRule type="expression" priority="36" dxfId="0" stopIfTrue="1">
      <formula>$E$35&lt;&gt;" "</formula>
    </cfRule>
  </conditionalFormatting>
  <conditionalFormatting sqref="E30">
    <cfRule type="expression" priority="37" dxfId="0" stopIfTrue="1">
      <formula>$E$30&lt;&gt;" "</formula>
    </cfRule>
  </conditionalFormatting>
  <conditionalFormatting sqref="E31">
    <cfRule type="expression" priority="38" dxfId="0" stopIfTrue="1">
      <formula>$E$31&lt;&gt;" "</formula>
    </cfRule>
  </conditionalFormatting>
  <conditionalFormatting sqref="D38">
    <cfRule type="expression" priority="17" dxfId="0" stopIfTrue="1">
      <formula>$E$38="prędkość podnoszenia koła&gt;dopuszczalnej"</formula>
    </cfRule>
    <cfRule type="expression" priority="18" dxfId="55" stopIfTrue="1">
      <formula>$E$38="prędkość podnoszenia koła&gt;zasadniczej"</formula>
    </cfRule>
  </conditionalFormatting>
  <conditionalFormatting sqref="A26:E26">
    <cfRule type="expression" priority="19" dxfId="2" stopIfTrue="1">
      <formula>$A$26="Poprawnie zaprojektowany układ torowy"</formula>
    </cfRule>
    <cfRule type="expression" priority="20" dxfId="0" stopIfTrue="1">
      <formula>$A$26="Niepoprawnie zaprojektowany układ torowy"</formula>
    </cfRule>
    <cfRule type="expression" priority="21" dxfId="55" stopIfTrue="1">
      <formula>$A$26="Poprawnie zaprojektowany układ torowy w trudnych warunkach terenowych"</formula>
    </cfRule>
  </conditionalFormatting>
  <dataValidations count="10">
    <dataValidation type="list" allowBlank="1" showInputMessage="1" showErrorMessage="1" promptTitle="Projektowany układ torowy" prompt="Od rodzaju projektowanego układu torowego zależy dopuszczalna wartość przyrostu niezrównoważonego przyspieszenia odśrodkowego ψdop." sqref="B5:D5">
      <formula1>$N$4:$N$7</formula1>
    </dataValidation>
    <dataValidation type="list" allowBlank="1" showInputMessage="1" showErrorMessage="1" promptTitle="Obciążenie przewozami" prompt="Od wielkości obciążenia przewozami zależy dopuszczalna wartość niezrównoważonego przyspieszenia at." sqref="B6:D6">
      <formula1>$L$4:$L$9</formula1>
    </dataValidation>
    <dataValidation type="custom" allowBlank="1" showInputMessage="1" showErrorMessage="1" promptTitle="Długość krzywej przejściowej" prompt="Należy podać wartość dodatnią." errorTitle="Nieprawidłowa wartość" error="Proszę podać wartość dodatnią.&#10;&#10;Do obliczania połączeń łuków bez krzywych przejściowych służy arkusz P-K-Ł." sqref="D9">
      <formula1>D9&gt;0</formula1>
    </dataValidation>
    <dataValidation type="custom" allowBlank="1" showInputMessage="1" showErrorMessage="1" promptTitle="Prędkość maksymalna" prompt=" " errorTitle="Nieprawidłowa wartość" error="Proszę podać wartość dodatnią." sqref="D12">
      <formula1>D12&gt;0</formula1>
    </dataValidation>
    <dataValidation type="custom" allowBlank="1" showInputMessage="1" showErrorMessage="1" promptTitle="Promień pierwszego łuku" prompt="Należy podać wartość dodatnią." errorTitle="Nieprawidłowa wartość" error="Proszę podać wartość dodatnią." sqref="D7">
      <formula1>D7&gt;0</formula1>
    </dataValidation>
    <dataValidation type="custom" allowBlank="1" showInputMessage="1" showErrorMessage="1" promptTitle="Prędkość pociągów towarowych" prompt=" " errorTitle="Nieprawidłowa wartość" error="Proszę podać wartość dodatnią." sqref="D13">
      <formula1>D13&gt;0</formula1>
    </dataValidation>
    <dataValidation type="list" allowBlank="1" showInputMessage="1" showErrorMessage="1" promptTitle="Projektowany układ torowy" prompt="Od rodzaju projektowanego układu torowego zależy dopuszczalna wartość niezrównoważonego przyspieszenia odśrodkowego adop." sqref="B4:D4">
      <formula1>$G$4:$G$13</formula1>
    </dataValidation>
    <dataValidation type="custom" allowBlank="1" showInputMessage="1" showErrorMessage="1" promptTitle="Promień drugiego łuku" prompt="Należy podać wartość dodatnią.&#10;" errorTitle="Nieprawidłowa wartość" error="Proszę podać wartość dodatnią." sqref="D8">
      <formula1>D8&gt;0</formula1>
    </dataValidation>
    <dataValidation allowBlank="1" showInputMessage="1" showErrorMessage="1" promptTitle="Wielkość przechyłki" prompt="Wielkość przechyłki na pierwszym łuku." sqref="D10"/>
    <dataValidation allowBlank="1" showInputMessage="1" showErrorMessage="1" promptTitle="Wielkość przechyłki." prompt="Wielkość przechyłki na drugim łuku." sqref="D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7109375" style="3" bestFit="1" customWidth="1"/>
    <col min="2" max="2" width="6.00390625" style="3" bestFit="1" customWidth="1"/>
    <col min="3" max="3" width="8.57421875" style="3" bestFit="1" customWidth="1"/>
    <col min="4" max="4" width="11.57421875" style="3" bestFit="1" customWidth="1"/>
    <col min="5" max="5" width="39.140625" style="3" bestFit="1" customWidth="1"/>
    <col min="6" max="16384" width="9.140625" style="3" customWidth="1"/>
  </cols>
  <sheetData>
    <row r="1" spans="1:5" ht="15.75" thickBot="1">
      <c r="A1" s="48" t="s">
        <v>145</v>
      </c>
      <c r="E1" s="47" t="s">
        <v>134</v>
      </c>
    </row>
    <row r="2" spans="1:5" ht="68.25" customHeight="1" thickBot="1">
      <c r="A2" s="125" t="s">
        <v>150</v>
      </c>
      <c r="B2" s="126"/>
      <c r="C2" s="126"/>
      <c r="D2" s="126"/>
      <c r="E2" s="127"/>
    </row>
    <row r="3" spans="1:5" ht="15">
      <c r="A3" s="122" t="s">
        <v>14</v>
      </c>
      <c r="B3" s="123"/>
      <c r="C3" s="123"/>
      <c r="D3" s="128"/>
      <c r="E3" s="59" t="s">
        <v>25</v>
      </c>
    </row>
    <row r="4" spans="1:5" ht="15">
      <c r="A4" s="50" t="s">
        <v>0</v>
      </c>
      <c r="B4" s="51" t="s">
        <v>50</v>
      </c>
      <c r="C4" s="51" t="s">
        <v>4</v>
      </c>
      <c r="D4" s="52">
        <v>243</v>
      </c>
      <c r="E4" s="60"/>
    </row>
    <row r="5" spans="1:5" ht="15">
      <c r="A5" s="50" t="s">
        <v>1</v>
      </c>
      <c r="B5" s="51" t="s">
        <v>8</v>
      </c>
      <c r="C5" s="51" t="s">
        <v>4</v>
      </c>
      <c r="D5" s="52">
        <v>60</v>
      </c>
      <c r="E5" s="60"/>
    </row>
    <row r="6" spans="1:5" ht="15">
      <c r="A6" s="50" t="s">
        <v>2</v>
      </c>
      <c r="B6" s="51" t="s">
        <v>9</v>
      </c>
      <c r="C6" s="51" t="s">
        <v>5</v>
      </c>
      <c r="D6" s="52">
        <v>0.5</v>
      </c>
      <c r="E6" s="60"/>
    </row>
    <row r="7" spans="1:5" ht="15">
      <c r="A7" s="50" t="s">
        <v>38</v>
      </c>
      <c r="B7" s="51" t="s">
        <v>39</v>
      </c>
      <c r="C7" s="51" t="s">
        <v>5</v>
      </c>
      <c r="D7" s="52">
        <v>0.4</v>
      </c>
      <c r="E7" s="60"/>
    </row>
    <row r="8" spans="1:5" ht="15">
      <c r="A8" s="50" t="s">
        <v>32</v>
      </c>
      <c r="B8" s="51" t="s">
        <v>33</v>
      </c>
      <c r="C8" s="51" t="s">
        <v>34</v>
      </c>
      <c r="D8" s="52">
        <v>0.5</v>
      </c>
      <c r="E8" s="60"/>
    </row>
    <row r="9" spans="1:5" ht="15">
      <c r="A9" s="50" t="s">
        <v>3</v>
      </c>
      <c r="B9" s="51" t="s">
        <v>10</v>
      </c>
      <c r="C9" s="51" t="s">
        <v>6</v>
      </c>
      <c r="D9" s="52">
        <v>75</v>
      </c>
      <c r="E9" s="60" t="str">
        <f>IF(AND(D9&gt;0,D9&lt;20),"przechyłka min=20mm",IF(D9&gt;150,"przechyłka max=150mm"," "))</f>
        <v> </v>
      </c>
    </row>
    <row r="10" spans="1:5" ht="15">
      <c r="A10" s="50" t="s">
        <v>11</v>
      </c>
      <c r="B10" s="51" t="s">
        <v>12</v>
      </c>
      <c r="C10" s="51" t="s">
        <v>13</v>
      </c>
      <c r="D10" s="52">
        <v>50</v>
      </c>
      <c r="E10" s="60"/>
    </row>
    <row r="11" spans="1:5" ht="15">
      <c r="A11" s="50" t="s">
        <v>22</v>
      </c>
      <c r="B11" s="51" t="s">
        <v>23</v>
      </c>
      <c r="C11" s="51" t="s">
        <v>13</v>
      </c>
      <c r="D11" s="52">
        <v>30</v>
      </c>
      <c r="E11" s="60"/>
    </row>
    <row r="12" spans="1:5" ht="15">
      <c r="A12" s="50"/>
      <c r="B12" s="51"/>
      <c r="C12" s="51"/>
      <c r="D12" s="52"/>
      <c r="E12" s="60"/>
    </row>
    <row r="13" spans="1:5" ht="15">
      <c r="A13" s="50" t="s">
        <v>40</v>
      </c>
      <c r="B13" s="51" t="s">
        <v>41</v>
      </c>
      <c r="C13" s="51" t="s">
        <v>4</v>
      </c>
      <c r="D13" s="52">
        <v>20</v>
      </c>
      <c r="E13" s="60"/>
    </row>
    <row r="14" spans="1:5" ht="15">
      <c r="A14" s="50" t="s">
        <v>18</v>
      </c>
      <c r="B14" s="51" t="s">
        <v>19</v>
      </c>
      <c r="C14" s="51" t="s">
        <v>5</v>
      </c>
      <c r="D14" s="52">
        <v>9.81</v>
      </c>
      <c r="E14" s="60"/>
    </row>
    <row r="15" spans="1:5" ht="15.75" thickBot="1">
      <c r="A15" s="61" t="s">
        <v>20</v>
      </c>
      <c r="B15" s="57" t="s">
        <v>21</v>
      </c>
      <c r="C15" s="57" t="s">
        <v>4</v>
      </c>
      <c r="D15" s="62">
        <v>1.5</v>
      </c>
      <c r="E15" s="63"/>
    </row>
    <row r="16" spans="1:5" ht="15.75" thickBot="1">
      <c r="A16" s="64"/>
      <c r="B16" s="65"/>
      <c r="C16" s="65"/>
      <c r="D16" s="65"/>
      <c r="E16" s="66"/>
    </row>
    <row r="17" spans="1:5" ht="15">
      <c r="A17" s="122" t="s">
        <v>15</v>
      </c>
      <c r="B17" s="123"/>
      <c r="C17" s="123"/>
      <c r="D17" s="124"/>
      <c r="E17" s="67" t="s">
        <v>25</v>
      </c>
    </row>
    <row r="18" spans="1:5" ht="30">
      <c r="A18" s="68" t="s">
        <v>16</v>
      </c>
      <c r="B18" s="51" t="s">
        <v>17</v>
      </c>
      <c r="C18" s="51" t="s">
        <v>4</v>
      </c>
      <c r="D18" s="69">
        <f>(D10/3.6)^2/(D6+D14*D9/(1000*D15))</f>
        <v>194.75137260767417</v>
      </c>
      <c r="E18" s="70" t="str">
        <f>IF(D4&lt;D18,"przyjęty promień mniejszy od minimalnego"," ")</f>
        <v> </v>
      </c>
    </row>
    <row r="19" spans="1:5" ht="30">
      <c r="A19" s="68" t="s">
        <v>27</v>
      </c>
      <c r="B19" s="51" t="s">
        <v>24</v>
      </c>
      <c r="C19" s="51" t="s">
        <v>6</v>
      </c>
      <c r="D19" s="71">
        <f>1000*(11.8*D10^2*0.001/D4-D15/D14*D6)</f>
        <v>44.94657756635331</v>
      </c>
      <c r="E19" s="72" t="str">
        <f>IF(D9&lt;D19,"przyjęta przechyłka mniejsza od minimalnej"," ")</f>
        <v> </v>
      </c>
    </row>
    <row r="20" spans="1:5" ht="30">
      <c r="A20" s="68" t="s">
        <v>28</v>
      </c>
      <c r="B20" s="51" t="s">
        <v>26</v>
      </c>
      <c r="C20" s="51" t="s">
        <v>6</v>
      </c>
      <c r="D20" s="71">
        <f>1000*(11.8*D11^2*0.001/D4+D15/D14*D7)</f>
        <v>104.86578321440706</v>
      </c>
      <c r="E20" s="72" t="str">
        <f>IF(D9&gt;D20,"przyjęta przechyłka większa od maksymalnej"," ")</f>
        <v> </v>
      </c>
    </row>
    <row r="21" spans="1:5" ht="30">
      <c r="A21" s="68" t="s">
        <v>54</v>
      </c>
      <c r="B21" s="51" t="s">
        <v>53</v>
      </c>
      <c r="C21" s="51" t="s">
        <v>5</v>
      </c>
      <c r="D21" s="73">
        <f>(0.0118*D10^2/D4-D9/1000)*D14/D15</f>
        <v>0.3034506172839507</v>
      </c>
      <c r="E21" s="74" t="str">
        <f>IF(D21&gt;D6,"wartość przyspieszenia bocznego większa od dopuszczalnej"," ")</f>
        <v> </v>
      </c>
    </row>
    <row r="22" spans="1:5" ht="30">
      <c r="A22" s="68" t="s">
        <v>29</v>
      </c>
      <c r="B22" s="51" t="s">
        <v>30</v>
      </c>
      <c r="C22" s="51" t="s">
        <v>31</v>
      </c>
      <c r="D22" s="75">
        <f>IF(D5=0," ",D10*D9/3.6/D5)</f>
        <v>17.36111111111111</v>
      </c>
      <c r="E22" s="70" t="str">
        <f>IF(D5=0,"brak krzywej przejściowej",IF(AND(D22&gt;28,D22&lt;=35),"prędkość podnoszenia koła&gt;zasadniczej",IF(D22&gt;35,"prędkość podnoszenia koła&gt;dopuszczalnej"," ")))</f>
        <v> </v>
      </c>
    </row>
    <row r="23" spans="1:5" ht="30.75" thickBot="1">
      <c r="A23" s="68" t="s">
        <v>35</v>
      </c>
      <c r="B23" s="51" t="s">
        <v>36</v>
      </c>
      <c r="C23" s="51" t="s">
        <v>37</v>
      </c>
      <c r="D23" s="69">
        <f>IF(D5&lt;&gt;0,D21*D10/3.6/D5,0.0214*D10^3/D13/D4)</f>
        <v>0.07024319844535894</v>
      </c>
      <c r="E23" s="76" t="str">
        <f>IF(D23&lt;D8," ","przyrost przyspieszenia bocznego większy od wartości dopuszczalnej")</f>
        <v> </v>
      </c>
    </row>
    <row r="24" spans="1:5" ht="15.75" thickBot="1">
      <c r="A24" s="129" t="s">
        <v>45</v>
      </c>
      <c r="B24" s="126"/>
      <c r="C24" s="126"/>
      <c r="D24" s="126"/>
      <c r="E24" s="127"/>
    </row>
    <row r="25" spans="1:5" ht="15">
      <c r="A25" s="77" t="s">
        <v>44</v>
      </c>
      <c r="B25" s="51" t="s">
        <v>49</v>
      </c>
      <c r="C25" s="51" t="s">
        <v>4</v>
      </c>
      <c r="D25" s="52">
        <v>-248</v>
      </c>
      <c r="E25" s="78"/>
    </row>
    <row r="26" spans="1:5" ht="15">
      <c r="A26" s="77" t="s">
        <v>48</v>
      </c>
      <c r="B26" s="51" t="s">
        <v>10</v>
      </c>
      <c r="C26" s="51" t="s">
        <v>6</v>
      </c>
      <c r="D26" s="51">
        <f>D9</f>
        <v>75</v>
      </c>
      <c r="E26" s="78"/>
    </row>
    <row r="27" spans="1:5" ht="15.75" thickBot="1">
      <c r="A27" s="77" t="s">
        <v>46</v>
      </c>
      <c r="B27" s="51" t="s">
        <v>47</v>
      </c>
      <c r="C27" s="51" t="s">
        <v>4</v>
      </c>
      <c r="D27" s="51">
        <v>6.094</v>
      </c>
      <c r="E27" s="78"/>
    </row>
    <row r="28" spans="1:5" ht="15">
      <c r="A28" s="122" t="s">
        <v>15</v>
      </c>
      <c r="B28" s="123"/>
      <c r="C28" s="123"/>
      <c r="D28" s="124"/>
      <c r="E28" s="67" t="s">
        <v>25</v>
      </c>
    </row>
    <row r="29" spans="1:5" ht="30">
      <c r="A29" s="68" t="s">
        <v>51</v>
      </c>
      <c r="B29" s="51" t="s">
        <v>52</v>
      </c>
      <c r="C29" s="51" t="s">
        <v>5</v>
      </c>
      <c r="D29" s="73">
        <f>(0.0118*D10^2/D25-D26/1000)*D14/D15</f>
        <v>-1.2684435483870968</v>
      </c>
      <c r="E29" s="78"/>
    </row>
    <row r="30" spans="1:5" ht="30">
      <c r="A30" s="68" t="s">
        <v>35</v>
      </c>
      <c r="B30" s="51" t="s">
        <v>36</v>
      </c>
      <c r="C30" s="51" t="s">
        <v>37</v>
      </c>
      <c r="D30" s="73">
        <f>ABS(D10*10/36*(D21-D29)/(D13+D27))</f>
        <v>0.8366621986701112</v>
      </c>
      <c r="E30" s="78" t="str">
        <f>IF(D30&lt;D8," ","przyrost przyspieszenia bocznego większy od wartości dopuszczalnej")</f>
        <v>przyrost przyspieszenia bocznego większy od wartości dopuszczalnej</v>
      </c>
    </row>
    <row r="31" spans="1:5" ht="15">
      <c r="A31" s="68"/>
      <c r="B31" s="51"/>
      <c r="C31" s="51"/>
      <c r="D31" s="73"/>
      <c r="E31" s="78"/>
    </row>
    <row r="32" spans="1:5" ht="15">
      <c r="A32" s="68"/>
      <c r="B32" s="51"/>
      <c r="C32" s="51"/>
      <c r="D32" s="73"/>
      <c r="E32" s="78"/>
    </row>
    <row r="33" spans="1:5" ht="15.75" thickBot="1">
      <c r="A33" s="56"/>
      <c r="B33" s="57"/>
      <c r="C33" s="57"/>
      <c r="D33" s="79"/>
      <c r="E33" s="80"/>
    </row>
  </sheetData>
  <sheetProtection/>
  <mergeCells count="5">
    <mergeCell ref="A28:D28"/>
    <mergeCell ref="A2:E2"/>
    <mergeCell ref="A3:D3"/>
    <mergeCell ref="A17:D17"/>
    <mergeCell ref="A24:E24"/>
  </mergeCells>
  <conditionalFormatting sqref="D18">
    <cfRule type="expression" priority="10" dxfId="1">
      <formula>$E$18&lt;&gt;" "</formula>
    </cfRule>
  </conditionalFormatting>
  <conditionalFormatting sqref="D19">
    <cfRule type="expression" priority="9" dxfId="1">
      <formula>$E$19&lt;&gt;" "</formula>
    </cfRule>
  </conditionalFormatting>
  <conditionalFormatting sqref="D20:D21 D29:D33">
    <cfRule type="expression" priority="8" dxfId="1">
      <formula>$E$20&lt;&gt;" "</formula>
    </cfRule>
  </conditionalFormatting>
  <conditionalFormatting sqref="D22">
    <cfRule type="expression" priority="6" dxfId="1">
      <formula>$E$22="prędkość podnoszenia koła&gt;dopuszczalnej"</formula>
    </cfRule>
    <cfRule type="expression" priority="7" dxfId="12">
      <formula>$E$22="prędkość podnoszenia koła&gt;zasadniczej"</formula>
    </cfRule>
  </conditionalFormatting>
  <conditionalFormatting sqref="D23">
    <cfRule type="expression" priority="4" dxfId="1">
      <formula>$E$23&lt;&gt;" "</formula>
    </cfRule>
  </conditionalFormatting>
  <conditionalFormatting sqref="D30">
    <cfRule type="expression" priority="1" dxfId="1">
      <formula>$E$30&lt;&gt;" 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7109375" style="3" bestFit="1" customWidth="1"/>
    <col min="2" max="2" width="26.00390625" style="3" customWidth="1"/>
    <col min="3" max="3" width="21.00390625" style="3" customWidth="1"/>
    <col min="4" max="4" width="17.7109375" style="3" bestFit="1" customWidth="1"/>
    <col min="5" max="5" width="16.421875" style="3" customWidth="1"/>
    <col min="6" max="6" width="55.28125" style="3" customWidth="1"/>
    <col min="7" max="10" width="9.140625" style="3" customWidth="1"/>
    <col min="11" max="11" width="11.28125" style="3" customWidth="1"/>
    <col min="12" max="12" width="9.140625" style="3" customWidth="1"/>
    <col min="13" max="13" width="20.8515625" style="3" bestFit="1" customWidth="1"/>
    <col min="14" max="16384" width="9.140625" style="3" customWidth="1"/>
  </cols>
  <sheetData>
    <row r="1" spans="1:6" ht="15.75" thickBot="1">
      <c r="A1" s="48" t="s">
        <v>145</v>
      </c>
      <c r="F1" s="47" t="s">
        <v>134</v>
      </c>
    </row>
    <row r="2" spans="1:21" ht="69" customHeight="1" thickBot="1">
      <c r="A2" s="98" t="s">
        <v>166</v>
      </c>
      <c r="B2" s="133"/>
      <c r="C2" s="99"/>
      <c r="D2" s="99"/>
      <c r="E2" s="99"/>
      <c r="F2" s="100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5">
      <c r="A3" s="95" t="s">
        <v>14</v>
      </c>
      <c r="B3" s="134"/>
      <c r="C3" s="96"/>
      <c r="D3" s="96"/>
      <c r="E3" s="97"/>
      <c r="F3" s="4" t="s">
        <v>25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3" ht="15">
      <c r="A4" s="21" t="s">
        <v>103</v>
      </c>
      <c r="B4" s="42"/>
      <c r="C4" s="106" t="s">
        <v>104</v>
      </c>
      <c r="D4" s="106"/>
      <c r="E4" s="107"/>
      <c r="F4" s="26"/>
      <c r="G4" s="38"/>
      <c r="H4" s="39" t="s">
        <v>69</v>
      </c>
      <c r="I4" s="39"/>
      <c r="J4" s="39"/>
      <c r="K4" s="39"/>
      <c r="L4" s="39">
        <v>0.65</v>
      </c>
      <c r="M4" s="39" t="s">
        <v>104</v>
      </c>
      <c r="N4" s="39">
        <v>0.4</v>
      </c>
      <c r="O4" s="39" t="s">
        <v>84</v>
      </c>
      <c r="P4" s="39"/>
      <c r="Q4" s="39"/>
      <c r="R4" s="39"/>
      <c r="S4" s="39"/>
      <c r="T4" s="39"/>
      <c r="U4" s="39"/>
      <c r="V4" s="23"/>
      <c r="W4" s="23">
        <v>0.3</v>
      </c>
    </row>
    <row r="5" spans="1:23" ht="15">
      <c r="A5" s="19" t="s">
        <v>0</v>
      </c>
      <c r="B5" s="43" t="s">
        <v>163</v>
      </c>
      <c r="C5" s="13" t="s">
        <v>7</v>
      </c>
      <c r="D5" s="13" t="s">
        <v>4</v>
      </c>
      <c r="E5" s="1">
        <v>1000</v>
      </c>
      <c r="F5" s="10" t="str">
        <f>IF(OR(F27&lt;&gt;" ",F28&lt;&gt;" ")=TRUE,"Należy zwiększyć wartość promienia"," ")</f>
        <v> </v>
      </c>
      <c r="G5" s="38"/>
      <c r="H5" s="39" t="s">
        <v>76</v>
      </c>
      <c r="I5" s="39"/>
      <c r="J5" s="39"/>
      <c r="K5" s="39"/>
      <c r="L5" s="39">
        <v>0.65</v>
      </c>
      <c r="M5" s="39" t="s">
        <v>105</v>
      </c>
      <c r="N5" s="39">
        <v>0.3</v>
      </c>
      <c r="O5" s="39" t="s">
        <v>86</v>
      </c>
      <c r="P5" s="39"/>
      <c r="Q5" s="39"/>
      <c r="R5" s="39"/>
      <c r="S5" s="39"/>
      <c r="T5" s="39"/>
      <c r="U5" s="39"/>
      <c r="V5" s="23"/>
      <c r="W5" s="23">
        <v>1</v>
      </c>
    </row>
    <row r="6" spans="1:23" ht="26.25" customHeight="1">
      <c r="A6" s="19" t="s">
        <v>1</v>
      </c>
      <c r="B6" s="43" t="s">
        <v>162</v>
      </c>
      <c r="C6" s="13" t="s">
        <v>8</v>
      </c>
      <c r="D6" s="13" t="s">
        <v>4</v>
      </c>
      <c r="E6" s="1">
        <v>40</v>
      </c>
      <c r="F6" s="28" t="str">
        <f>IF(AND(F36&lt;&gt;" ",OR(F33&lt;&gt;" ",F34&lt;&gt;" "))=TRUE,"Należy wydłużyć krzywą przejściową",IF(AND(F36=" ",OR(F33&lt;&gt;" ",F34&lt;&gt;" "))=TRUE,"Należy wydłużyć krzywą przejściową lub zmniejszyć wartość przechyłki",IF(AND(F36&lt;&gt;" ",F33=" ",F34=" ")=TRUE,"Należy wydłużyć krzywą przejściową lub zwiększyć wartość przechyłki"," ")))</f>
        <v>Należy wydłużyć krzywą przejściową</v>
      </c>
      <c r="G6" s="38"/>
      <c r="H6" s="39" t="s">
        <v>70</v>
      </c>
      <c r="I6" s="39"/>
      <c r="J6" s="39"/>
      <c r="K6" s="39"/>
      <c r="L6" s="39">
        <v>0.5</v>
      </c>
      <c r="M6" s="39" t="s">
        <v>82</v>
      </c>
      <c r="N6" s="39">
        <v>0.2</v>
      </c>
      <c r="O6" s="39"/>
      <c r="P6" s="39"/>
      <c r="Q6" s="39"/>
      <c r="R6" s="39"/>
      <c r="S6" s="39"/>
      <c r="T6" s="39"/>
      <c r="U6" s="39"/>
      <c r="V6" s="23"/>
      <c r="W6" s="23"/>
    </row>
    <row r="7" spans="1:23" ht="15">
      <c r="A7" s="19" t="s">
        <v>3</v>
      </c>
      <c r="B7" s="43" t="s">
        <v>111</v>
      </c>
      <c r="C7" s="13" t="s">
        <v>110</v>
      </c>
      <c r="D7" s="13" t="s">
        <v>6</v>
      </c>
      <c r="E7" s="1">
        <v>100</v>
      </c>
      <c r="F7" s="10"/>
      <c r="G7" s="38"/>
      <c r="H7" s="39" t="s">
        <v>77</v>
      </c>
      <c r="I7" s="39"/>
      <c r="J7" s="39"/>
      <c r="K7" s="39"/>
      <c r="L7" s="39">
        <v>0.45</v>
      </c>
      <c r="M7" s="39"/>
      <c r="N7" s="39"/>
      <c r="O7" s="39"/>
      <c r="P7" s="39"/>
      <c r="Q7" s="39"/>
      <c r="R7" s="39"/>
      <c r="S7" s="39"/>
      <c r="T7" s="39"/>
      <c r="U7" s="39"/>
      <c r="V7" s="23"/>
      <c r="W7" s="23"/>
    </row>
    <row r="8" spans="1:23" ht="15">
      <c r="A8" s="19" t="s">
        <v>11</v>
      </c>
      <c r="B8" s="46" t="s">
        <v>164</v>
      </c>
      <c r="C8" s="13" t="s">
        <v>12</v>
      </c>
      <c r="D8" s="13" t="s">
        <v>13</v>
      </c>
      <c r="E8" s="1">
        <v>120</v>
      </c>
      <c r="F8" s="26"/>
      <c r="G8" s="38"/>
      <c r="H8" s="39" t="s">
        <v>71</v>
      </c>
      <c r="I8" s="39"/>
      <c r="J8" s="39"/>
      <c r="K8" s="39"/>
      <c r="L8" s="39">
        <v>0.45</v>
      </c>
      <c r="M8" s="39"/>
      <c r="N8" s="39"/>
      <c r="O8" s="39"/>
      <c r="P8" s="39"/>
      <c r="Q8" s="39"/>
      <c r="R8" s="39"/>
      <c r="S8" s="39"/>
      <c r="T8" s="39"/>
      <c r="U8" s="39"/>
      <c r="V8" s="23"/>
      <c r="W8" s="23"/>
    </row>
    <row r="9" spans="1:23" ht="15">
      <c r="A9" s="19" t="s">
        <v>22</v>
      </c>
      <c r="B9" s="46" t="s">
        <v>165</v>
      </c>
      <c r="C9" s="13" t="s">
        <v>23</v>
      </c>
      <c r="D9" s="13" t="s">
        <v>13</v>
      </c>
      <c r="E9" s="1">
        <v>80</v>
      </c>
      <c r="F9" s="26"/>
      <c r="G9" s="38"/>
      <c r="H9" s="39" t="s">
        <v>72</v>
      </c>
      <c r="I9" s="39"/>
      <c r="J9" s="39"/>
      <c r="K9" s="39"/>
      <c r="L9" s="39">
        <v>0.3</v>
      </c>
      <c r="M9" s="39"/>
      <c r="N9" s="39"/>
      <c r="O9" s="39"/>
      <c r="P9" s="39"/>
      <c r="Q9" s="39"/>
      <c r="R9" s="39"/>
      <c r="S9" s="39"/>
      <c r="T9" s="39"/>
      <c r="U9" s="39"/>
      <c r="V9" s="23"/>
      <c r="W9" s="23"/>
    </row>
    <row r="10" spans="1:23" ht="15">
      <c r="A10" s="32"/>
      <c r="B10" s="33"/>
      <c r="C10" s="33"/>
      <c r="D10" s="33"/>
      <c r="E10" s="33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23"/>
      <c r="W10" s="23"/>
    </row>
    <row r="11" spans="1:21" ht="30" customHeight="1">
      <c r="A11" s="46" t="s">
        <v>107</v>
      </c>
      <c r="B11" s="46" t="s">
        <v>160</v>
      </c>
      <c r="C11" s="13" t="s">
        <v>109</v>
      </c>
      <c r="D11" s="13" t="s">
        <v>6</v>
      </c>
      <c r="E11" s="41">
        <f>IF(AND(80&lt;E8,E8&lt;=250,C4="bez wychylnego pudła")=TRUE,130,IF(AND(250&lt;E8,E8&lt;=300,C4="bez wychylnego pudła")=TRUE,100,IF(AND(80&lt;=E8,E8&lt;=260,C4="z wychylnym pudłem"),275,"błąd")))</f>
        <v>130</v>
      </c>
      <c r="F11" s="6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26.25">
      <c r="A12" s="46" t="s">
        <v>108</v>
      </c>
      <c r="B12" s="46" t="s">
        <v>161</v>
      </c>
      <c r="C12" s="13" t="s">
        <v>109</v>
      </c>
      <c r="D12" s="13" t="s">
        <v>6</v>
      </c>
      <c r="E12" s="41">
        <f>IF(AND(80&lt;E8,E8&lt;=200,C4="bez wychylnego pudła")=TRUE,183,IF(AND(200&lt;E8,E8&lt;=230,C4="bez wychylnego pudła")=TRUE,168,IF(AND(230&lt;E8,E8&lt;=250,C4="bez wychylnego pudła")=TRUE,153,IF(AND(250&lt;E8,E8&lt;=300,C4="bez wychylnego pudła")=TRUE,130,IF(AND(80&lt;=E8,E8&lt;=260,C4="z wychylnym pudłem"),306,"błąd")))))</f>
        <v>183</v>
      </c>
      <c r="F12" s="6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ht="26.25">
      <c r="A13" s="44" t="s">
        <v>118</v>
      </c>
      <c r="B13" s="46" t="s">
        <v>159</v>
      </c>
      <c r="C13" s="13" t="s">
        <v>158</v>
      </c>
      <c r="D13" s="13" t="s">
        <v>6</v>
      </c>
      <c r="E13" s="41">
        <v>110</v>
      </c>
      <c r="F13" s="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ht="15">
      <c r="A14" s="44"/>
      <c r="B14" s="44"/>
      <c r="C14" s="13" t="s">
        <v>113</v>
      </c>
      <c r="D14" s="13" t="s">
        <v>114</v>
      </c>
      <c r="E14" s="40">
        <v>11.8</v>
      </c>
      <c r="F14" s="6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26.25">
      <c r="A15" s="44" t="s">
        <v>119</v>
      </c>
      <c r="B15" s="44" t="s">
        <v>121</v>
      </c>
      <c r="C15" s="13" t="s">
        <v>123</v>
      </c>
      <c r="D15" s="13" t="s">
        <v>124</v>
      </c>
      <c r="E15" s="22">
        <v>2.25</v>
      </c>
      <c r="F15" s="6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ht="26.25">
      <c r="A16" s="44" t="s">
        <v>120</v>
      </c>
      <c r="B16" s="44" t="s">
        <v>122</v>
      </c>
      <c r="C16" s="13" t="s">
        <v>123</v>
      </c>
      <c r="D16" s="13" t="s">
        <v>124</v>
      </c>
      <c r="E16" s="22">
        <v>2.5</v>
      </c>
      <c r="F16" s="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15">
      <c r="A17" s="44"/>
      <c r="B17" s="44"/>
      <c r="C17" s="13" t="s">
        <v>127</v>
      </c>
      <c r="D17" s="13" t="s">
        <v>128</v>
      </c>
      <c r="E17" s="22">
        <v>3.6</v>
      </c>
      <c r="F17" s="6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ht="26.25">
      <c r="A18" s="44" t="s">
        <v>119</v>
      </c>
      <c r="B18" s="44" t="s">
        <v>144</v>
      </c>
      <c r="C18" s="13" t="s">
        <v>133</v>
      </c>
      <c r="D18" s="13" t="s">
        <v>31</v>
      </c>
      <c r="E18" s="22">
        <v>50</v>
      </c>
      <c r="F18" s="6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26.25">
      <c r="A19" s="44" t="s">
        <v>120</v>
      </c>
      <c r="B19" s="44" t="s">
        <v>143</v>
      </c>
      <c r="C19" s="13" t="s">
        <v>133</v>
      </c>
      <c r="D19" s="13" t="s">
        <v>31</v>
      </c>
      <c r="E19" s="22">
        <f>IF(AND(C4="bez wychylnego pudła",E31&lt;=168,E8&lt;=200)=TRUE,70,IF(AND(C4="bez wychylnego pudła",E31&lt;=183,E8&lt;=200)=TRUE,50,IF(AND(C4="bez wychylnego pudła",200&lt;E8,E8&lt;=300)=TRUE,60," ")))</f>
        <v>70</v>
      </c>
      <c r="F19" s="6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ht="26.25">
      <c r="A20" s="44" t="s">
        <v>141</v>
      </c>
      <c r="B20" s="44" t="s">
        <v>139</v>
      </c>
      <c r="C20" s="13" t="s">
        <v>138</v>
      </c>
      <c r="D20" s="13" t="s">
        <v>31</v>
      </c>
      <c r="E20" s="22">
        <f>IF(AND(C4="bez wychylnego pudła",E8&lt;=200,E31&lt;=168)=TRUE,55,IF(AND(C4="bez wychylnego pudła",E8&lt;=200,E31&lt;=183)=TRUE,55,IF(AND(C4="bez wychylnego pudła",200&lt;E8,E8&lt;=300)=TRUE,55,"")))</f>
        <v>55</v>
      </c>
      <c r="F20" s="6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ht="26.25">
      <c r="A21" s="44" t="s">
        <v>142</v>
      </c>
      <c r="B21" s="44" t="s">
        <v>140</v>
      </c>
      <c r="C21" s="13" t="s">
        <v>138</v>
      </c>
      <c r="D21" s="13" t="s">
        <v>31</v>
      </c>
      <c r="E21" s="22">
        <f>IF(AND(C4="bez wychylnego pudła",E8&lt;=200,E31&lt;=168)=TRUE,100,IF(AND(C4="bez wychylnego pudła",E8&lt;=200,E31&lt;=183)=TRUE,90,IF(AND(C4="bez wychylnego pudła",200&lt;E8,E8&lt;=300)=TRUE,75,"")))</f>
        <v>100</v>
      </c>
      <c r="F21" s="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ht="15.75" thickBot="1">
      <c r="A22" s="19"/>
      <c r="B22" s="43"/>
      <c r="C22" s="13"/>
      <c r="D22" s="13"/>
      <c r="E22" s="20"/>
      <c r="F22" s="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6" ht="15.75" thickBot="1">
      <c r="A23" s="113" t="e">
        <f>IF(OR(E11="Komórka B3!",E12="Komórka B5!",#REF!="Komórka B4!")=TRUE,"Niepoprawnie wprowadzone dane wejściowe",IF(OR(F5&lt;&gt;" ",F6&lt;&gt;" ",F7&lt;&gt;" ")=TRUE,"Niepoprawnie zaprojektowany układ torowy","Poprawnie zaprojektowany układ torowy"))</f>
        <v>#REF!</v>
      </c>
      <c r="B23" s="114"/>
      <c r="C23" s="114"/>
      <c r="D23" s="114"/>
      <c r="E23" s="114"/>
      <c r="F23" s="115"/>
    </row>
    <row r="24" spans="1:6" ht="15.75" thickBot="1">
      <c r="A24" s="114" t="e">
        <f>IF(A23="Poprawnie zaprojektowany układ torowy",IF(E5&lt;160,"Uwaga! Należy wykonać poszerzenie toru w łuku o 25mm (poprzez odsunięcie wewnętrznej szyny w stronę środka łuku).",IF(E5&lt;180,"Uwaga! Należy wykonać poszerzenie toru w łuku o 20mm (poprzez odsunięcie wewnętrznej szyny w stronę środka łuku).",IF(E5&lt;200,"Uwaga! Należy wykonać poszerzenie toru w łuku o 15mm (poprzez odsunięcie wewnętrznej szyny w stronę środka łuku).",IF(E5&lt;250,"Uwaga! Należy wykonać poszerzenie toru w łuku o 10mm (poprzez odsunięcie wewnętrznej szyny w stronę środka łuku)."," "))))," ")</f>
        <v>#REF!</v>
      </c>
      <c r="B24" s="114"/>
      <c r="C24" s="114"/>
      <c r="D24" s="114"/>
      <c r="E24" s="114"/>
      <c r="F24" s="115"/>
    </row>
    <row r="25" spans="1:6" ht="15.75" thickBot="1">
      <c r="A25" s="130" t="s">
        <v>15</v>
      </c>
      <c r="B25" s="131"/>
      <c r="C25" s="131"/>
      <c r="D25" s="131"/>
      <c r="E25" s="132"/>
      <c r="F25" s="94" t="s">
        <v>25</v>
      </c>
    </row>
    <row r="26" spans="1:6" ht="15">
      <c r="A26" s="93"/>
      <c r="B26" s="93"/>
      <c r="C26" s="93"/>
      <c r="D26" s="93"/>
      <c r="E26" s="93"/>
      <c r="F26" s="93"/>
    </row>
    <row r="27" spans="1:6" ht="39">
      <c r="A27" s="44" t="s">
        <v>154</v>
      </c>
      <c r="B27" s="46" t="s">
        <v>156</v>
      </c>
      <c r="C27" s="139" t="s">
        <v>17</v>
      </c>
      <c r="D27" s="139" t="s">
        <v>4</v>
      </c>
      <c r="E27" s="140">
        <f>E14/(E7+E11)*E8^2</f>
        <v>738.7826086956522</v>
      </c>
      <c r="F27" s="45" t="str">
        <f>IF(E5&lt;E27,"Przyjęty promień mniejszy od minimalnego"," ")</f>
        <v> </v>
      </c>
    </row>
    <row r="28" spans="1:6" ht="39">
      <c r="A28" s="44" t="s">
        <v>155</v>
      </c>
      <c r="B28" s="46" t="s">
        <v>157</v>
      </c>
      <c r="C28" s="139" t="s">
        <v>17</v>
      </c>
      <c r="D28" s="139" t="s">
        <v>4</v>
      </c>
      <c r="E28" s="140">
        <f>E14/(E7+E12)*E8^2</f>
        <v>600.4240282685513</v>
      </c>
      <c r="F28" s="139" t="str">
        <f>IF(E5&lt;E28,"Przyjęty promień mniejszy od minimalnego"," ")</f>
        <v> </v>
      </c>
    </row>
    <row r="29" spans="1:6" ht="26.25">
      <c r="A29" s="44" t="str">
        <f>IF(E7&gt;E13,"Maksymalny promień łuku poziomego"," ")</f>
        <v> </v>
      </c>
      <c r="B29" s="44" t="str">
        <f>IF(E7&gt;E13,"Maximum curve radius"," ")</f>
        <v> </v>
      </c>
      <c r="C29" s="139" t="str">
        <f>IF(E7&gt;E13,"Rmax"," ")</f>
        <v> </v>
      </c>
      <c r="D29" s="139" t="str">
        <f>IF(E7&gt;E13,"[m]"," ")</f>
        <v> </v>
      </c>
      <c r="E29" s="140" t="str">
        <f>IF(E7&gt;E13,E14/(E7-E13)*E9^2," ")</f>
        <v> </v>
      </c>
      <c r="F29" s="139" t="str">
        <f>IF(E7&gt;E13,IF(E5&gt;E29,"Przyjęty promień większy od maksymalnego"," ")," ")</f>
        <v> </v>
      </c>
    </row>
    <row r="30" spans="1:6" ht="26.25">
      <c r="A30" s="44" t="str">
        <f>IF(E5&lt;320,"Maksymalna wartość przechyłki"," ")</f>
        <v> </v>
      </c>
      <c r="B30" s="44" t="str">
        <f>IF(E5&lt;320,"Maximum cant"," ")</f>
        <v> </v>
      </c>
      <c r="C30" s="139" t="str">
        <f>IF(E5&lt;320,"Dlim"," ")</f>
        <v> </v>
      </c>
      <c r="D30" s="139" t="str">
        <f>IF(E5&lt;320,"[m]"," ")</f>
        <v> </v>
      </c>
      <c r="E30" s="141">
        <f>(E5-50)/1.5</f>
        <v>633.3333333333334</v>
      </c>
      <c r="F30" s="46" t="str">
        <f>IF(E5&lt;320,IF(E7&gt;E30,"Przekroczona wartość przechyłki z uwagi na niebezpieczeństwo wykolejenia wagonów towarowych"," ")," ")</f>
        <v> </v>
      </c>
    </row>
    <row r="31" spans="1:6" ht="15">
      <c r="A31" s="5" t="s">
        <v>106</v>
      </c>
      <c r="B31" s="45" t="s">
        <v>153</v>
      </c>
      <c r="C31" s="13" t="s">
        <v>112</v>
      </c>
      <c r="D31" s="13" t="s">
        <v>6</v>
      </c>
      <c r="E31" s="7">
        <f>E14*E8^2/E5-E7</f>
        <v>69.91999999999999</v>
      </c>
      <c r="F31" s="30" t="str">
        <f>IF(E31&gt;E12,"Przekracza wartość dopuszczalną",IF(E31&gt;E11,"Przekracza wartość zasadniczą"," "))</f>
        <v> </v>
      </c>
    </row>
    <row r="32" spans="1:6" ht="15">
      <c r="A32" s="5" t="s">
        <v>115</v>
      </c>
      <c r="B32" s="45" t="s">
        <v>116</v>
      </c>
      <c r="C32" s="13" t="s">
        <v>117</v>
      </c>
      <c r="D32" s="13" t="s">
        <v>6</v>
      </c>
      <c r="E32" s="7">
        <f>-1*E14*E9^2/E5+E7</f>
        <v>24.480000000000004</v>
      </c>
      <c r="F32" s="30" t="str">
        <f>IF(E32&gt;E13,"Przekracza wartość dopuszczalną"," ")</f>
        <v> </v>
      </c>
    </row>
    <row r="33" spans="1:6" ht="15">
      <c r="A33" s="5" t="s">
        <v>125</v>
      </c>
      <c r="B33" s="45" t="s">
        <v>126</v>
      </c>
      <c r="C33" s="13" t="s">
        <v>131</v>
      </c>
      <c r="D33" s="13" t="s">
        <v>124</v>
      </c>
      <c r="E33" s="9">
        <f>E7/E6</f>
        <v>2.5</v>
      </c>
      <c r="F33" s="30" t="str">
        <f>IF(E33&gt;E16,"Przekracza wartość dopuszczalną",IF(E33&gt;E15,"Przekracza wartość zasadniczą"," "))</f>
        <v>Przekracza wartość zasadniczą</v>
      </c>
    </row>
    <row r="34" spans="1:6" ht="15">
      <c r="A34" s="5" t="s">
        <v>129</v>
      </c>
      <c r="B34" s="46" t="s">
        <v>130</v>
      </c>
      <c r="C34" s="13" t="s">
        <v>132</v>
      </c>
      <c r="D34" s="13" t="s">
        <v>31</v>
      </c>
      <c r="E34" s="7">
        <f>E7/E6*E8/E17</f>
        <v>83.33333333333333</v>
      </c>
      <c r="F34" s="30" t="str">
        <f>IF(E34&gt;E19,"Przekracza wartość dopuszczalną",IF(E34&gt;E18,"Przekracza wartość zasadniczą"," "))</f>
        <v>Przekracza wartość dopuszczalną</v>
      </c>
    </row>
    <row r="35" spans="1:6" ht="15">
      <c r="A35" s="5"/>
      <c r="B35" s="44"/>
      <c r="C35" s="13"/>
      <c r="D35" s="13"/>
      <c r="E35" s="7"/>
      <c r="F35" s="30"/>
    </row>
    <row r="36" spans="1:6" ht="26.25">
      <c r="A36" s="5" t="s">
        <v>137</v>
      </c>
      <c r="B36" s="44" t="s">
        <v>135</v>
      </c>
      <c r="C36" s="13" t="s">
        <v>136</v>
      </c>
      <c r="D36" s="13" t="s">
        <v>31</v>
      </c>
      <c r="E36" s="7">
        <f>E31/E6*E8/E17</f>
        <v>58.26666666666665</v>
      </c>
      <c r="F36" s="30" t="str">
        <f>IF(E36&gt;E20,"Przekracza wartość dopuszczalną",IF(E36&gt;E21,"Przekracza wartość zasadniczą"," "))</f>
        <v>Przekracza wartość dopuszczalną</v>
      </c>
    </row>
    <row r="37" spans="1:6" ht="15">
      <c r="A37" s="5"/>
      <c r="B37" s="45"/>
      <c r="C37" s="13"/>
      <c r="D37" s="13"/>
      <c r="E37" s="7"/>
      <c r="F37" s="30"/>
    </row>
  </sheetData>
  <sheetProtection/>
  <mergeCells count="6">
    <mergeCell ref="A23:F23"/>
    <mergeCell ref="A24:F24"/>
    <mergeCell ref="A25:E25"/>
    <mergeCell ref="A2:F2"/>
    <mergeCell ref="A3:E3"/>
    <mergeCell ref="C4:E4"/>
  </mergeCells>
  <conditionalFormatting sqref="F5">
    <cfRule type="expression" priority="9" dxfId="9" stopIfTrue="1">
      <formula>$F$5&lt;&gt;" "</formula>
    </cfRule>
  </conditionalFormatting>
  <conditionalFormatting sqref="F7">
    <cfRule type="expression" priority="8" dxfId="0" stopIfTrue="1">
      <formula>$F$7&lt;&gt;" "</formula>
    </cfRule>
  </conditionalFormatting>
  <conditionalFormatting sqref="F6">
    <cfRule type="expression" priority="5" dxfId="7" stopIfTrue="1">
      <formula>$F$6="Dopuszczalne w trudnych war. ter., w warunkach dogodnych - należy wydłużyć krzywą przejściową lub zmniejszyć przechyłkę"</formula>
    </cfRule>
    <cfRule type="expression" priority="6" dxfId="0" stopIfTrue="1">
      <formula>$F$6="Należy wydłużyć krzywą przejściową lub zmniejszyć przechyłkę"</formula>
    </cfRule>
    <cfRule type="expression" priority="7" dxfId="0" stopIfTrue="1">
      <formula>$F$6="Należy wydłużyć krzywą przejściową lub zwiększyć przechyłkę"</formula>
    </cfRule>
  </conditionalFormatting>
  <conditionalFormatting sqref="A23:B23">
    <cfRule type="expression" priority="3" dxfId="2" stopIfTrue="1">
      <formula>$A$23="Poprawnie zaprojektowany układ torowy"</formula>
    </cfRule>
    <cfRule type="expression" priority="4" dxfId="0" stopIfTrue="1">
      <formula>$A$23&lt;&gt;"Poprawnie zaprojektowany układ torowy"</formula>
    </cfRule>
  </conditionalFormatting>
  <conditionalFormatting sqref="A24:F24">
    <cfRule type="expression" priority="2" dxfId="2" stopIfTrue="1">
      <formula>AND($A$23="Poprawnie zaprojektowany układ torowy",$A$24&lt;&gt;" ")</formula>
    </cfRule>
  </conditionalFormatting>
  <conditionalFormatting sqref="E35:E37">
    <cfRule type="expression" priority="18" dxfId="1">
      <formula>#REF!&lt;&gt;" "</formula>
    </cfRule>
  </conditionalFormatting>
  <conditionalFormatting sqref="E31:E32">
    <cfRule type="expression" priority="28" dxfId="0" stopIfTrue="1">
      <formula>F31&lt;&gt;" "</formula>
    </cfRule>
  </conditionalFormatting>
  <conditionalFormatting sqref="E33:E34">
    <cfRule type="expression" priority="11" dxfId="55" stopIfTrue="1">
      <formula>F33="Przekracza wartość zasadniczą"</formula>
    </cfRule>
    <cfRule type="expression" priority="12" dxfId="0" stopIfTrue="1">
      <formula>F33="Przekracza wartość dopuszczalną"</formula>
    </cfRule>
  </conditionalFormatting>
  <dataValidations count="1">
    <dataValidation type="list" allowBlank="1" showInputMessage="1" showErrorMessage="1" sqref="C4:E4">
      <formula1>$M$4:$M$5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3" bestFit="1" customWidth="1"/>
    <col min="2" max="2" width="9.00390625" style="3" customWidth="1"/>
    <col min="3" max="3" width="9.140625" style="3" customWidth="1"/>
    <col min="4" max="4" width="9.8515625" style="3" bestFit="1" customWidth="1"/>
    <col min="5" max="16384" width="9.140625" style="3" customWidth="1"/>
  </cols>
  <sheetData>
    <row r="1" spans="1:4" ht="15.75" thickBot="1">
      <c r="A1" s="48" t="s">
        <v>145</v>
      </c>
      <c r="D1" s="47" t="s">
        <v>134</v>
      </c>
    </row>
    <row r="2" spans="1:5" ht="70.5" customHeight="1" thickBot="1">
      <c r="A2" s="98" t="s">
        <v>149</v>
      </c>
      <c r="B2" s="133"/>
      <c r="C2" s="133"/>
      <c r="D2" s="138"/>
      <c r="E2" s="81"/>
    </row>
    <row r="3" spans="1:4" ht="15">
      <c r="A3" s="122" t="s">
        <v>14</v>
      </c>
      <c r="B3" s="123"/>
      <c r="C3" s="123"/>
      <c r="D3" s="128"/>
    </row>
    <row r="4" spans="1:4" ht="15">
      <c r="A4" s="50" t="s">
        <v>0</v>
      </c>
      <c r="B4" s="51" t="s">
        <v>7</v>
      </c>
      <c r="C4" s="51" t="s">
        <v>4</v>
      </c>
      <c r="D4" s="1">
        <v>9290</v>
      </c>
    </row>
    <row r="5" spans="1:4" ht="15">
      <c r="A5" s="50" t="s">
        <v>57</v>
      </c>
      <c r="B5" s="51" t="s">
        <v>55</v>
      </c>
      <c r="C5" s="51" t="s">
        <v>58</v>
      </c>
      <c r="D5" s="1">
        <v>21.86</v>
      </c>
    </row>
    <row r="6" spans="1:4" ht="15.75" thickBot="1">
      <c r="A6" s="50" t="s">
        <v>59</v>
      </c>
      <c r="B6" s="51" t="s">
        <v>56</v>
      </c>
      <c r="C6" s="51" t="s">
        <v>58</v>
      </c>
      <c r="D6" s="1">
        <v>11.63</v>
      </c>
    </row>
    <row r="7" spans="1:4" ht="15.75" thickBot="1">
      <c r="A7" s="135" t="s">
        <v>15</v>
      </c>
      <c r="B7" s="136"/>
      <c r="C7" s="136"/>
      <c r="D7" s="137"/>
    </row>
    <row r="8" spans="1:4" ht="15">
      <c r="A8" s="53" t="s">
        <v>60</v>
      </c>
      <c r="B8" s="54" t="s">
        <v>61</v>
      </c>
      <c r="C8" s="54" t="s">
        <v>4</v>
      </c>
      <c r="D8" s="55">
        <f>ABS(D4*(D5-D6)/2000)</f>
        <v>47.51834999999999</v>
      </c>
    </row>
    <row r="9" spans="1:4" ht="15.75" thickBot="1">
      <c r="A9" s="56" t="s">
        <v>62</v>
      </c>
      <c r="B9" s="57" t="s">
        <v>63</v>
      </c>
      <c r="C9" s="57" t="s">
        <v>6</v>
      </c>
      <c r="D9" s="58">
        <f>D4*(D5-D6)^2/8000</f>
        <v>121.52818012499996</v>
      </c>
    </row>
    <row r="14" ht="15">
      <c r="C14" s="49"/>
    </row>
  </sheetData>
  <sheetProtection/>
  <mergeCells count="3">
    <mergeCell ref="A3:D3"/>
    <mergeCell ref="A7:D7"/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9.8515625" style="82" customWidth="1"/>
    <col min="2" max="2" width="24.28125" style="82" customWidth="1"/>
    <col min="3" max="3" width="18.00390625" style="82" customWidth="1"/>
    <col min="4" max="4" width="18.28125" style="82" customWidth="1"/>
    <col min="5" max="5" width="19.421875" style="82" customWidth="1"/>
    <col min="6" max="16384" width="9.140625" style="82" customWidth="1"/>
  </cols>
  <sheetData>
    <row r="1" spans="1:5" ht="71.25" customHeight="1" thickBot="1">
      <c r="A1" s="125" t="s">
        <v>151</v>
      </c>
      <c r="B1" s="126"/>
      <c r="C1" s="126"/>
      <c r="D1" s="126"/>
      <c r="E1" s="127"/>
    </row>
    <row r="2" ht="15"/>
    <row r="3" ht="15"/>
    <row r="4" ht="15"/>
    <row r="5" ht="15"/>
    <row r="6" ht="15"/>
    <row r="7" ht="15"/>
  </sheetData>
  <sheetProtection/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2012-08-09T19:50:43Z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